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CED Reports\DCED-2018\"/>
    </mc:Choice>
  </mc:AlternateContent>
  <bookViews>
    <workbookView xWindow="0" yWindow="120" windowWidth="23040" windowHeight="8955" tabRatio="944" activeTab="3"/>
  </bookViews>
  <sheets>
    <sheet name="ALL GOVERNMENT FUNDS" sheetId="1" r:id="rId1"/>
    <sheet name="Front Stmts" sheetId="25" r:id="rId2"/>
    <sheet name="Other Government" sheetId="6" r:id="rId3"/>
    <sheet name="Stmt of Activities - Front" sheetId="26" r:id="rId4"/>
    <sheet name="General Fund" sheetId="2" r:id="rId5"/>
    <sheet name="General Fund - Revenue" sheetId="3" r:id="rId6"/>
    <sheet name="Capital Projects Fund" sheetId="4" r:id="rId7"/>
    <sheet name="Human Services" sheetId="5" r:id="rId8"/>
    <sheet name="AAA Funds" sheetId="10" r:id="rId9"/>
    <sheet name="CYS Funds" sheetId="7" r:id="rId10"/>
    <sheet name="Substance Abuse" sheetId="9" r:id="rId11"/>
    <sheet name="RSVP Funds" sheetId="8" r:id="rId12"/>
    <sheet name="Mental Health Funds" sheetId="12" r:id="rId13"/>
    <sheet name="Mental Retardation Funds" sheetId="13" r:id="rId14"/>
    <sheet name="Human Services 1150" sheetId="11" r:id="rId15"/>
    <sheet name="Airport Funds" sheetId="14" r:id="rId16"/>
    <sheet name="CDBG" sheetId="16" r:id="rId17"/>
    <sheet name="OEO-Weatherization" sheetId="18" r:id="rId18"/>
    <sheet name="OEO-Other" sheetId="17" r:id="rId19"/>
    <sheet name="Transportation Fund" sheetId="15" r:id="rId20"/>
    <sheet name="Special Purpose " sheetId="19" r:id="rId21"/>
    <sheet name="911" sheetId="20" r:id="rId22"/>
    <sheet name="Park Prison Tax Claim" sheetId="21" state="hidden" r:id="rId23"/>
    <sheet name="Pension" sheetId="22" r:id="rId24"/>
    <sheet name="Sheet3" sheetId="23" r:id="rId25"/>
    <sheet name="Sheet1" sheetId="24" r:id="rId26"/>
  </sheets>
  <definedNames>
    <definedName name="_xlnm.Print_Area" localSheetId="0">'ALL GOVERNMENT FUNDS'!$A$1:$Z$92</definedName>
    <definedName name="_xlnm.Print_Area" localSheetId="1">'Front Stmts'!$A$1:$W$105</definedName>
    <definedName name="_xlnm.Print_Titles" localSheetId="0">'ALL GOVERNMENT FUNDS'!$A:$A,'ALL GOVERNMENT FUNDS'!$6:$6</definedName>
    <definedName name="_xlnm.Print_Titles" localSheetId="2">'Other Government'!$A:$A</definedName>
    <definedName name="Z_2B2709E2_6DF4_4CC4_88D0_056FB306137C_.wvu.PrintTitles" localSheetId="2" hidden="1">'Other Government'!$A:$A</definedName>
    <definedName name="Z_A6F79E61_D6A3_44FD_B4A4_4724DF74349B_.wvu.PrintArea" localSheetId="5" hidden="1">'General Fund - Revenue'!$A$1:$R$78</definedName>
    <definedName name="Z_A6F79E61_D6A3_44FD_B4A4_4724DF74349B_.wvu.PrintTitles" localSheetId="5" hidden="1">'General Fund - Revenue'!$A:$B</definedName>
    <definedName name="Z_A6F79E61_D6A3_44FD_B4A4_4724DF74349B_.wvu.PrintTitles" localSheetId="2" hidden="1">'Other Government'!$A:$A</definedName>
    <definedName name="Z_DE6E911D_85BF_467A_AA00_1E84C5349CF7_.wvu.PrintTitles" localSheetId="2" hidden="1">'Other Government'!$A:$A</definedName>
    <definedName name="Z_E68B3865_8D72_47E7_BE32_0FF7EB09E889_.wvu.PrintArea" localSheetId="0" hidden="1">'ALL GOVERNMENT FUNDS'!$A$1:$Z$92</definedName>
    <definedName name="Z_E68B3865_8D72_47E7_BE32_0FF7EB09E889_.wvu.PrintArea" localSheetId="1" hidden="1">'Front Stmts'!$A$1:$W$105</definedName>
    <definedName name="Z_E68B3865_8D72_47E7_BE32_0FF7EB09E889_.wvu.PrintTitles" localSheetId="0" hidden="1">'ALL GOVERNMENT FUNDS'!$A:$A,'ALL GOVERNMENT FUNDS'!$6:$6</definedName>
    <definedName name="Z_E68B3865_8D72_47E7_BE32_0FF7EB09E889_.wvu.PrintTitles" localSheetId="2" hidden="1">'Other Government'!$A:$A</definedName>
    <definedName name="Z_EC03C3C8_7E57_47C6_8413_F484E8C46A0C_.wvu.PrintTitles" localSheetId="2" hidden="1">'Other Government'!$A:$A</definedName>
  </definedNames>
  <calcPr calcId="162913"/>
  <customWorkbookViews>
    <customWorkbookView name="Heather Mohnkern - Personal View" guid="{E68B3865-8D72-47E7-BE32-0FF7EB09E889}" mergeInterval="0" personalView="1" maximized="1" xWindow="-8" yWindow="-8" windowWidth="1936" windowHeight="1056" tabRatio="944" activeSheetId="26"/>
    <customWorkbookView name="Jamie L. Weaver - Personal View" guid="{2B2709E2-6DF4-4CC4-88D0-056FB306137C}" mergeInterval="0" personalView="1" maximized="1" windowWidth="1916" windowHeight="815" tabRatio="797" activeSheetId="3"/>
    <customWorkbookView name="McFadden - Personal View" guid="{EC03C3C8-7E57-47C6-8413-F484E8C46A0C}" mergeInterval="0" personalView="1" maximized="1" xWindow="1" yWindow="1" windowWidth="1362" windowHeight="538" tabRatio="797" activeSheetId="3"/>
    <customWorkbookView name="tmcfadden - Personal View" guid="{D62C3EC3-27D1-41F3-9A4E-06307CA202CE}" mergeInterval="0" personalView="1" maximized="1" windowWidth="1020" windowHeight="596" activeSheetId="5"/>
    <customWorkbookView name="hmohnkern - Personal View" guid="{A6F79E61-D6A3-44FD-B4A4-4724DF74349B}" mergeInterval="0" personalView="1" maximized="1" xWindow="1" yWindow="1" windowWidth="1916" windowHeight="829" tabRatio="797" activeSheetId="7"/>
    <customWorkbookView name="Terri McFadden - Personal View" guid="{DE6E911D-85BF-467A-AA00-1E84C5349CF7}" mergeInterval="0" personalView="1" maximized="1" windowWidth="1916" windowHeight="829" tabRatio="797" activeSheetId="9" showComments="commIndAndComment"/>
  </customWorkbookViews>
</workbook>
</file>

<file path=xl/calcChain.xml><?xml version="1.0" encoding="utf-8"?>
<calcChain xmlns="http://schemas.openxmlformats.org/spreadsheetml/2006/main">
  <c r="C161" i="26" l="1"/>
  <c r="C160" i="26"/>
  <c r="H159" i="26"/>
  <c r="I158" i="26"/>
  <c r="C157" i="26"/>
  <c r="C156" i="26"/>
  <c r="C155" i="26"/>
  <c r="C154" i="26"/>
  <c r="C153" i="26"/>
  <c r="D152" i="26"/>
  <c r="D151" i="26"/>
  <c r="D150" i="26"/>
  <c r="D149" i="26"/>
  <c r="D148" i="26"/>
  <c r="D147" i="26"/>
  <c r="C146" i="26"/>
  <c r="C145" i="26"/>
  <c r="C144" i="26"/>
  <c r="C143" i="26"/>
  <c r="G142" i="26"/>
  <c r="F141" i="26"/>
  <c r="E140" i="26"/>
  <c r="E139" i="26"/>
  <c r="E138" i="26"/>
  <c r="E137" i="26"/>
  <c r="D136" i="26"/>
  <c r="D135" i="26"/>
  <c r="D134" i="26"/>
  <c r="D133" i="26"/>
  <c r="D132" i="26"/>
  <c r="D131" i="26"/>
  <c r="D130" i="26"/>
  <c r="D129" i="26"/>
  <c r="D128" i="26"/>
  <c r="C127" i="26"/>
  <c r="C126" i="26"/>
  <c r="H125" i="26"/>
  <c r="I124" i="26"/>
  <c r="G123" i="26"/>
  <c r="F122" i="26"/>
  <c r="E121" i="26"/>
  <c r="D120" i="26"/>
  <c r="C119" i="26"/>
  <c r="C118" i="26"/>
  <c r="C117" i="26"/>
  <c r="C116" i="26"/>
  <c r="C115" i="26"/>
  <c r="C114" i="26"/>
  <c r="C113" i="26"/>
  <c r="C112" i="26"/>
  <c r="C111" i="26"/>
  <c r="C110" i="26"/>
  <c r="C109" i="26"/>
  <c r="C108" i="26"/>
  <c r="C107" i="26"/>
  <c r="C106" i="26"/>
  <c r="C105" i="26"/>
  <c r="C98" i="26"/>
  <c r="C97" i="26"/>
  <c r="H96" i="26"/>
  <c r="I95" i="26"/>
  <c r="C94" i="26"/>
  <c r="C93" i="26"/>
  <c r="C92" i="26"/>
  <c r="C91" i="26"/>
  <c r="C90" i="26"/>
  <c r="D89" i="26"/>
  <c r="D88" i="26"/>
  <c r="D87" i="26"/>
  <c r="D86" i="26"/>
  <c r="D85" i="26"/>
  <c r="D84" i="26"/>
  <c r="C83" i="26"/>
  <c r="C82" i="26"/>
  <c r="C81" i="26"/>
  <c r="C80" i="26"/>
  <c r="G79" i="26"/>
  <c r="F78" i="26"/>
  <c r="E77" i="26"/>
  <c r="E76" i="26"/>
  <c r="E75" i="26"/>
  <c r="E74" i="26"/>
  <c r="D73" i="26"/>
  <c r="D72" i="26"/>
  <c r="D71" i="26"/>
  <c r="D70" i="26"/>
  <c r="D69" i="26"/>
  <c r="D68" i="26"/>
  <c r="D67" i="26"/>
  <c r="D66" i="26"/>
  <c r="D65" i="26"/>
  <c r="C64" i="26"/>
  <c r="C63" i="26"/>
  <c r="H62" i="26"/>
  <c r="I61" i="26"/>
  <c r="G60" i="26"/>
  <c r="F59" i="26"/>
  <c r="E58" i="26"/>
  <c r="D57" i="26"/>
  <c r="C56" i="26"/>
  <c r="C55" i="26"/>
  <c r="C54" i="26"/>
  <c r="C53" i="26"/>
  <c r="C52" i="26"/>
  <c r="C51" i="26"/>
  <c r="C50" i="26"/>
  <c r="C49" i="26"/>
  <c r="C48" i="26"/>
  <c r="C47" i="26"/>
  <c r="C46" i="26"/>
  <c r="C45" i="26"/>
  <c r="C44" i="26"/>
  <c r="C43" i="26"/>
  <c r="C42" i="26"/>
  <c r="F26" i="26" l="1"/>
  <c r="F25" i="26"/>
  <c r="F24" i="26"/>
  <c r="C162" i="26" l="1"/>
  <c r="I99" i="26" l="1"/>
  <c r="C14" i="26" s="1"/>
  <c r="F99" i="26"/>
  <c r="C99" i="26"/>
  <c r="I162" i="26"/>
  <c r="D14" i="26" s="1"/>
  <c r="H162" i="26"/>
  <c r="D13" i="26" s="1"/>
  <c r="G162" i="26"/>
  <c r="F162" i="26"/>
  <c r="E162" i="26"/>
  <c r="D162" i="26"/>
  <c r="E99" i="26"/>
  <c r="G99" i="26"/>
  <c r="H99" i="26"/>
  <c r="C13" i="26" s="1"/>
  <c r="AH171" i="26"/>
  <c r="AH170" i="26"/>
  <c r="AH169" i="26"/>
  <c r="AH167" i="26"/>
  <c r="AH166" i="26"/>
  <c r="AG171" i="26"/>
  <c r="AG170" i="26"/>
  <c r="AG169" i="26"/>
  <c r="AG167" i="26"/>
  <c r="AG166" i="26"/>
  <c r="AF171" i="26"/>
  <c r="AF170" i="26"/>
  <c r="AF169" i="26"/>
  <c r="AF167" i="26"/>
  <c r="AF166" i="26"/>
  <c r="AE171" i="26"/>
  <c r="AE170" i="26"/>
  <c r="AE169" i="26"/>
  <c r="AE167" i="26"/>
  <c r="AE166" i="26"/>
  <c r="AD171" i="26"/>
  <c r="AD170" i="26"/>
  <c r="AD169" i="26"/>
  <c r="AD167" i="26"/>
  <c r="AD166" i="26"/>
  <c r="AC171" i="26"/>
  <c r="AC170" i="26"/>
  <c r="AC169" i="26"/>
  <c r="AC167" i="26"/>
  <c r="AC166" i="26"/>
  <c r="AB171" i="26"/>
  <c r="AB170" i="26"/>
  <c r="AB169" i="26"/>
  <c r="AB167" i="26"/>
  <c r="AB166" i="26"/>
  <c r="AA171" i="26"/>
  <c r="AA170" i="26"/>
  <c r="AA169" i="26"/>
  <c r="AA167" i="26"/>
  <c r="AA166" i="26"/>
  <c r="Z171" i="26"/>
  <c r="Z170" i="26"/>
  <c r="Z169" i="26"/>
  <c r="Z167" i="26"/>
  <c r="Z166" i="26"/>
  <c r="Y171" i="26"/>
  <c r="Y170" i="26"/>
  <c r="Y169" i="26"/>
  <c r="Y167" i="26"/>
  <c r="Y166" i="26"/>
  <c r="X171" i="26"/>
  <c r="X170" i="26"/>
  <c r="X169" i="26"/>
  <c r="X167" i="26"/>
  <c r="X166" i="26"/>
  <c r="W171" i="26"/>
  <c r="W170" i="26"/>
  <c r="W169" i="26"/>
  <c r="W167" i="26"/>
  <c r="D8" i="26" s="1"/>
  <c r="W166" i="26"/>
  <c r="V171" i="26"/>
  <c r="V170" i="26"/>
  <c r="V169" i="26"/>
  <c r="V167" i="26"/>
  <c r="V166" i="26"/>
  <c r="U171" i="26"/>
  <c r="U170" i="26"/>
  <c r="U169" i="26"/>
  <c r="U167" i="26"/>
  <c r="U166" i="26"/>
  <c r="T171" i="26"/>
  <c r="T170" i="26"/>
  <c r="T169" i="26"/>
  <c r="T167" i="26"/>
  <c r="T166" i="26"/>
  <c r="S171" i="26"/>
  <c r="S170" i="26"/>
  <c r="S169" i="26"/>
  <c r="S167" i="26"/>
  <c r="S166" i="26"/>
  <c r="R171" i="26"/>
  <c r="R170" i="26"/>
  <c r="R169" i="26"/>
  <c r="R167" i="26"/>
  <c r="R166" i="26"/>
  <c r="Q171" i="26"/>
  <c r="Q170" i="26"/>
  <c r="Q169" i="26"/>
  <c r="Q167" i="26"/>
  <c r="Q166" i="26"/>
  <c r="P171" i="26"/>
  <c r="P170" i="26"/>
  <c r="P169" i="26"/>
  <c r="P167" i="26"/>
  <c r="P166" i="26"/>
  <c r="O171" i="26"/>
  <c r="O170" i="26"/>
  <c r="O169" i="26"/>
  <c r="O167" i="26"/>
  <c r="O166" i="26"/>
  <c r="N171" i="26"/>
  <c r="N170" i="26"/>
  <c r="N169" i="26"/>
  <c r="N167" i="26"/>
  <c r="N166" i="26"/>
  <c r="K171" i="26"/>
  <c r="M171" i="26" s="1"/>
  <c r="K169" i="26"/>
  <c r="M169" i="26" s="1"/>
  <c r="K170" i="26"/>
  <c r="M170" i="26" s="1"/>
  <c r="K167" i="26"/>
  <c r="M167" i="26" s="1"/>
  <c r="K166" i="26"/>
  <c r="H171" i="26"/>
  <c r="J171" i="26" s="1"/>
  <c r="H170" i="26"/>
  <c r="J170" i="26" s="1"/>
  <c r="H169" i="26"/>
  <c r="J169" i="26" s="1"/>
  <c r="H167" i="26"/>
  <c r="J167" i="26" s="1"/>
  <c r="H166" i="26"/>
  <c r="J166" i="26" s="1"/>
  <c r="E171" i="26"/>
  <c r="E170" i="26"/>
  <c r="G170" i="26" s="1"/>
  <c r="E169" i="26"/>
  <c r="G169" i="26" s="1"/>
  <c r="AI168" i="26"/>
  <c r="AK168" i="26" s="1"/>
  <c r="AI172" i="26"/>
  <c r="AK172" i="26" s="1"/>
  <c r="AI173" i="26"/>
  <c r="AK173" i="26" s="1"/>
  <c r="AI174" i="26"/>
  <c r="AK174" i="26" s="1"/>
  <c r="AI175" i="26"/>
  <c r="AK175" i="26" s="1"/>
  <c r="M168" i="26"/>
  <c r="M172" i="26"/>
  <c r="M173" i="26"/>
  <c r="M174" i="26"/>
  <c r="M175" i="26"/>
  <c r="J168" i="26"/>
  <c r="J172" i="26"/>
  <c r="J173" i="26"/>
  <c r="J174" i="26"/>
  <c r="J175" i="26"/>
  <c r="G168" i="26"/>
  <c r="G171" i="26"/>
  <c r="G172" i="26"/>
  <c r="G173" i="26"/>
  <c r="G174" i="26"/>
  <c r="G175" i="26"/>
  <c r="AJ176" i="26"/>
  <c r="F176" i="26"/>
  <c r="I176" i="26"/>
  <c r="L176" i="26"/>
  <c r="D168" i="26"/>
  <c r="D174" i="26"/>
  <c r="C172" i="26"/>
  <c r="C176" i="26" s="1"/>
  <c r="B173" i="26"/>
  <c r="D173" i="26" s="1"/>
  <c r="B172" i="26"/>
  <c r="B169" i="26"/>
  <c r="D169" i="26" s="1"/>
  <c r="B167" i="26"/>
  <c r="D167" i="26" s="1"/>
  <c r="B166" i="26"/>
  <c r="D166" i="26" s="1"/>
  <c r="B171" i="26"/>
  <c r="D171" i="26" s="1"/>
  <c r="B170" i="26"/>
  <c r="D170" i="26" s="1"/>
  <c r="E167" i="26"/>
  <c r="G167" i="26" s="1"/>
  <c r="E166" i="26"/>
  <c r="G166" i="26" s="1"/>
  <c r="F28" i="26"/>
  <c r="F27" i="26"/>
  <c r="F23" i="26"/>
  <c r="F22" i="26"/>
  <c r="F21" i="26" s="1"/>
  <c r="B15" i="26"/>
  <c r="F15" i="26" s="1"/>
  <c r="B14" i="26"/>
  <c r="B13" i="26"/>
  <c r="B12" i="26"/>
  <c r="B11" i="26"/>
  <c r="B10" i="26"/>
  <c r="B9" i="26"/>
  <c r="B8" i="26"/>
  <c r="E17" i="26"/>
  <c r="B2" i="26"/>
  <c r="D99" i="26" l="1"/>
  <c r="J99" i="26" s="1"/>
  <c r="F13" i="26"/>
  <c r="C8" i="26"/>
  <c r="F8" i="26" s="1"/>
  <c r="F14" i="26"/>
  <c r="C12" i="26"/>
  <c r="D11" i="26"/>
  <c r="C11" i="26"/>
  <c r="C10" i="26"/>
  <c r="D12" i="26"/>
  <c r="D9" i="26"/>
  <c r="D10" i="26"/>
  <c r="D172" i="26"/>
  <c r="AL172" i="26" s="1"/>
  <c r="J162" i="26"/>
  <c r="AL173" i="26"/>
  <c r="AL174" i="26"/>
  <c r="AH176" i="26"/>
  <c r="AG176" i="26"/>
  <c r="AF176" i="26"/>
  <c r="AE176" i="26"/>
  <c r="AD176" i="26"/>
  <c r="AC176" i="26"/>
  <c r="AB176" i="26"/>
  <c r="AA176" i="26"/>
  <c r="Z176" i="26"/>
  <c r="Y176" i="26"/>
  <c r="AL168" i="26"/>
  <c r="X176" i="26"/>
  <c r="W176" i="26"/>
  <c r="V176" i="26"/>
  <c r="U176" i="26"/>
  <c r="T176" i="26"/>
  <c r="S176" i="26"/>
  <c r="R176" i="26"/>
  <c r="AI167" i="26"/>
  <c r="AK167" i="26" s="1"/>
  <c r="AL167" i="26" s="1"/>
  <c r="Q176" i="26"/>
  <c r="AI171" i="26"/>
  <c r="AK171" i="26" s="1"/>
  <c r="AL171" i="26" s="1"/>
  <c r="P176" i="26"/>
  <c r="AI170" i="26"/>
  <c r="AK170" i="26" s="1"/>
  <c r="AL170" i="26" s="1"/>
  <c r="AI169" i="26"/>
  <c r="AK169" i="26" s="1"/>
  <c r="AL169" i="26" s="1"/>
  <c r="O176" i="26"/>
  <c r="N176" i="26"/>
  <c r="AI166" i="26"/>
  <c r="K176" i="26"/>
  <c r="M166" i="26"/>
  <c r="M176" i="26" s="1"/>
  <c r="H176" i="26"/>
  <c r="J176" i="26"/>
  <c r="G176" i="26"/>
  <c r="E176" i="26"/>
  <c r="AL175" i="26"/>
  <c r="B176" i="26"/>
  <c r="F30" i="26"/>
  <c r="B17" i="26"/>
  <c r="B25" i="9"/>
  <c r="B27" i="9"/>
  <c r="C9" i="26" l="1"/>
  <c r="F9" i="26" s="1"/>
  <c r="F10" i="26"/>
  <c r="D17" i="26"/>
  <c r="F11" i="26"/>
  <c r="F12" i="26"/>
  <c r="D176" i="26"/>
  <c r="AI176" i="26"/>
  <c r="AK166" i="26"/>
  <c r="G40" i="6"/>
  <c r="B40" i="20"/>
  <c r="C17" i="26" l="1"/>
  <c r="F17" i="26"/>
  <c r="F32" i="26" s="1"/>
  <c r="F36" i="26" s="1"/>
  <c r="AL166" i="26"/>
  <c r="AL176" i="26" s="1"/>
  <c r="AK176" i="26"/>
  <c r="N87" i="25"/>
  <c r="N83" i="25"/>
  <c r="N95" i="25"/>
  <c r="G57" i="25" l="1"/>
  <c r="R57" i="25" s="1"/>
  <c r="A60" i="25"/>
  <c r="T53" i="25"/>
  <c r="Q29" i="25"/>
  <c r="Q13" i="25"/>
  <c r="N18" i="25"/>
  <c r="I43" i="25" l="1"/>
  <c r="J43" i="25"/>
  <c r="K43" i="25"/>
  <c r="L43" i="25"/>
  <c r="M43" i="25"/>
  <c r="N43" i="25"/>
  <c r="O43" i="25"/>
  <c r="P43" i="25"/>
  <c r="Q43" i="25"/>
  <c r="H43" i="25"/>
  <c r="G42" i="25" l="1"/>
  <c r="R42" i="25" s="1"/>
  <c r="G19" i="25"/>
  <c r="R19" i="25" s="1"/>
  <c r="G32" i="25"/>
  <c r="R32" i="25" s="1"/>
  <c r="G33" i="25"/>
  <c r="G34" i="25"/>
  <c r="G35" i="25"/>
  <c r="R35" i="25" s="1"/>
  <c r="G31" i="25"/>
  <c r="R31" i="25" s="1"/>
  <c r="N89" i="25"/>
  <c r="N86" i="25"/>
  <c r="N85" i="25"/>
  <c r="N84" i="25"/>
  <c r="G64" i="25"/>
  <c r="R64" i="25" s="1"/>
  <c r="N17" i="25"/>
  <c r="G18" i="25"/>
  <c r="R18" i="25" s="1"/>
  <c r="G16" i="25"/>
  <c r="R16" i="25" s="1"/>
  <c r="G17" i="25"/>
  <c r="G15" i="25"/>
  <c r="R15" i="25" s="1"/>
  <c r="I101" i="25"/>
  <c r="J101" i="25"/>
  <c r="K101" i="25"/>
  <c r="L101" i="25"/>
  <c r="M101" i="25"/>
  <c r="N101" i="25"/>
  <c r="O101" i="25"/>
  <c r="P101" i="25"/>
  <c r="Q101" i="25"/>
  <c r="H101" i="25"/>
  <c r="R33" i="25"/>
  <c r="R34" i="25"/>
  <c r="I67" i="25"/>
  <c r="J67" i="25"/>
  <c r="K67" i="25"/>
  <c r="L67" i="25"/>
  <c r="M67" i="25"/>
  <c r="N67" i="25"/>
  <c r="O67" i="25"/>
  <c r="P67" i="25"/>
  <c r="Q67" i="25"/>
  <c r="H67" i="25"/>
  <c r="I37" i="25"/>
  <c r="J37" i="25"/>
  <c r="K37" i="25"/>
  <c r="L37" i="25"/>
  <c r="M37" i="25"/>
  <c r="N37" i="25"/>
  <c r="O37" i="25"/>
  <c r="P37" i="25"/>
  <c r="Q37" i="25"/>
  <c r="H37" i="25"/>
  <c r="I24" i="25"/>
  <c r="J24" i="25"/>
  <c r="K24" i="25"/>
  <c r="L24" i="25"/>
  <c r="M24" i="25"/>
  <c r="O24" i="25"/>
  <c r="P24" i="25"/>
  <c r="Q24" i="25"/>
  <c r="H24" i="25"/>
  <c r="R17" i="25" l="1"/>
  <c r="S18" i="25" s="1"/>
  <c r="N24" i="25"/>
  <c r="K82" i="2"/>
  <c r="K26" i="3" l="1"/>
  <c r="K61" i="3"/>
  <c r="K63" i="2"/>
  <c r="I91" i="25"/>
  <c r="J91" i="25"/>
  <c r="K91" i="25"/>
  <c r="L91" i="25"/>
  <c r="M91" i="25"/>
  <c r="N91" i="25"/>
  <c r="O91" i="25"/>
  <c r="P91" i="25"/>
  <c r="Q91" i="25"/>
  <c r="H91" i="25"/>
  <c r="I80" i="25"/>
  <c r="J80" i="25"/>
  <c r="K80" i="25"/>
  <c r="L80" i="25"/>
  <c r="M80" i="25"/>
  <c r="N80" i="25"/>
  <c r="O80" i="25"/>
  <c r="P80" i="25"/>
  <c r="Q80" i="25"/>
  <c r="H80" i="25"/>
  <c r="A2" i="25"/>
  <c r="B6" i="25"/>
  <c r="C6" i="25"/>
  <c r="D6" i="25"/>
  <c r="E6" i="25"/>
  <c r="F6" i="25"/>
  <c r="G6" i="25"/>
  <c r="A7" i="25"/>
  <c r="B7" i="25"/>
  <c r="C7" i="25"/>
  <c r="D7" i="25"/>
  <c r="E7" i="25"/>
  <c r="F7" i="25"/>
  <c r="G7" i="25"/>
  <c r="A8" i="25"/>
  <c r="E8" i="25"/>
  <c r="A9" i="25"/>
  <c r="B9" i="25"/>
  <c r="C9" i="25"/>
  <c r="E9" i="25"/>
  <c r="F9" i="25"/>
  <c r="A10" i="25"/>
  <c r="C10" i="25"/>
  <c r="D10" i="25"/>
  <c r="E10" i="25"/>
  <c r="F10" i="25"/>
  <c r="A11" i="25"/>
  <c r="E11" i="25"/>
  <c r="A12" i="25"/>
  <c r="C12" i="25"/>
  <c r="D12" i="25"/>
  <c r="E12" i="25"/>
  <c r="F12" i="25"/>
  <c r="A13" i="25"/>
  <c r="E13" i="25"/>
  <c r="A14" i="25"/>
  <c r="E14" i="25"/>
  <c r="A20" i="25"/>
  <c r="E20" i="25"/>
  <c r="A21" i="25"/>
  <c r="B21" i="25"/>
  <c r="D21" i="25"/>
  <c r="E21" i="25"/>
  <c r="F21" i="25"/>
  <c r="A22" i="25"/>
  <c r="B22" i="25"/>
  <c r="C22" i="25"/>
  <c r="D22" i="25"/>
  <c r="E22" i="25"/>
  <c r="F22" i="25"/>
  <c r="A23" i="25"/>
  <c r="B23" i="25"/>
  <c r="C23" i="25"/>
  <c r="D23" i="25"/>
  <c r="E23" i="25"/>
  <c r="F23" i="25"/>
  <c r="A24" i="25"/>
  <c r="A26" i="25"/>
  <c r="A27" i="25"/>
  <c r="E27" i="25"/>
  <c r="A28" i="25"/>
  <c r="E28" i="25"/>
  <c r="A29" i="25"/>
  <c r="C29" i="25"/>
  <c r="E29" i="25"/>
  <c r="A30" i="25"/>
  <c r="E30" i="25"/>
  <c r="A36" i="25"/>
  <c r="E36" i="25"/>
  <c r="A37" i="25"/>
  <c r="A39" i="25"/>
  <c r="A40" i="25"/>
  <c r="D40" i="25"/>
  <c r="E40" i="25"/>
  <c r="F40" i="25"/>
  <c r="A41" i="25"/>
  <c r="D41" i="25"/>
  <c r="E41" i="25"/>
  <c r="F41" i="25"/>
  <c r="A43" i="25"/>
  <c r="D43" i="25"/>
  <c r="F43" i="25"/>
  <c r="A45" i="25"/>
  <c r="A46" i="25"/>
  <c r="D46" i="25"/>
  <c r="E46" i="25"/>
  <c r="A47" i="25"/>
  <c r="C47" i="25"/>
  <c r="D47" i="25"/>
  <c r="E47" i="25"/>
  <c r="F47" i="25"/>
  <c r="A48" i="25"/>
  <c r="B48" i="25"/>
  <c r="C48" i="25"/>
  <c r="E48" i="25"/>
  <c r="A49" i="25"/>
  <c r="B49" i="25"/>
  <c r="C49" i="25"/>
  <c r="D49" i="25"/>
  <c r="E49" i="25"/>
  <c r="A50" i="25"/>
  <c r="B50" i="25"/>
  <c r="C50" i="25"/>
  <c r="D50" i="25"/>
  <c r="E50" i="25"/>
  <c r="A51" i="25"/>
  <c r="B51" i="25"/>
  <c r="C51" i="25"/>
  <c r="D51" i="25"/>
  <c r="E51" i="25"/>
  <c r="A52" i="25"/>
  <c r="B52" i="25"/>
  <c r="C52" i="25"/>
  <c r="D52" i="25"/>
  <c r="E52" i="25"/>
  <c r="A53" i="25"/>
  <c r="B53" i="25"/>
  <c r="C53" i="25"/>
  <c r="D53" i="25"/>
  <c r="E53" i="25"/>
  <c r="A54" i="25"/>
  <c r="B54" i="25"/>
  <c r="C54" i="25"/>
  <c r="D54" i="25"/>
  <c r="E54" i="25"/>
  <c r="A55" i="25"/>
  <c r="B55" i="25"/>
  <c r="C55" i="25"/>
  <c r="D55" i="25"/>
  <c r="E55" i="25"/>
  <c r="A56" i="25"/>
  <c r="B56" i="25"/>
  <c r="C56" i="25"/>
  <c r="D56" i="25"/>
  <c r="E56" i="25"/>
  <c r="A58" i="25"/>
  <c r="B58" i="25"/>
  <c r="C58" i="25"/>
  <c r="D58" i="25"/>
  <c r="E58" i="25"/>
  <c r="A59" i="25"/>
  <c r="B59" i="25"/>
  <c r="C59" i="25"/>
  <c r="D59" i="25"/>
  <c r="E59" i="25"/>
  <c r="B60" i="25"/>
  <c r="D60" i="25"/>
  <c r="E60" i="25"/>
  <c r="A61" i="25"/>
  <c r="B61" i="25"/>
  <c r="C61" i="25"/>
  <c r="E61" i="25"/>
  <c r="A62" i="25"/>
  <c r="B62" i="25"/>
  <c r="C62" i="25"/>
  <c r="D62" i="25"/>
  <c r="E62" i="25"/>
  <c r="A63" i="25"/>
  <c r="B63" i="25"/>
  <c r="C63" i="25"/>
  <c r="D63" i="25"/>
  <c r="E63" i="25"/>
  <c r="A65" i="25"/>
  <c r="E65" i="25"/>
  <c r="F65" i="25"/>
  <c r="A66" i="25"/>
  <c r="C66" i="25"/>
  <c r="D66" i="25"/>
  <c r="E66" i="25"/>
  <c r="A67" i="25"/>
  <c r="A69" i="25"/>
  <c r="A71" i="25"/>
  <c r="A72" i="25"/>
  <c r="C72" i="25"/>
  <c r="D72" i="25"/>
  <c r="E72" i="25"/>
  <c r="F72" i="25"/>
  <c r="A73" i="25"/>
  <c r="C73" i="25"/>
  <c r="D73" i="25"/>
  <c r="E73" i="25"/>
  <c r="F73" i="25"/>
  <c r="A74" i="25"/>
  <c r="A75" i="25"/>
  <c r="A76" i="25"/>
  <c r="C76" i="25"/>
  <c r="E76" i="25"/>
  <c r="A77" i="25"/>
  <c r="E77" i="25"/>
  <c r="A78" i="25"/>
  <c r="D78" i="25"/>
  <c r="E78" i="25"/>
  <c r="F78" i="25"/>
  <c r="A79" i="25"/>
  <c r="E79" i="25"/>
  <c r="A80" i="25"/>
  <c r="A82" i="25"/>
  <c r="A83" i="25"/>
  <c r="E83" i="25"/>
  <c r="A84" i="25"/>
  <c r="E84" i="25"/>
  <c r="A85" i="25"/>
  <c r="E85" i="25"/>
  <c r="A86" i="25"/>
  <c r="E86" i="25"/>
  <c r="A87" i="25"/>
  <c r="E87" i="25"/>
  <c r="A88" i="25"/>
  <c r="E88" i="25"/>
  <c r="A89" i="25"/>
  <c r="D89" i="25"/>
  <c r="E89" i="25"/>
  <c r="F89" i="25"/>
  <c r="A90" i="25"/>
  <c r="D90" i="25"/>
  <c r="E90" i="25"/>
  <c r="F90" i="25"/>
  <c r="A91" i="25"/>
  <c r="A93" i="25"/>
  <c r="A95" i="25"/>
  <c r="E95" i="25"/>
  <c r="A96" i="25"/>
  <c r="B96" i="25"/>
  <c r="D96" i="25"/>
  <c r="E96" i="25"/>
  <c r="F96" i="25"/>
  <c r="A97" i="25"/>
  <c r="B97" i="25"/>
  <c r="D97" i="25"/>
  <c r="E97" i="25"/>
  <c r="F97" i="25"/>
  <c r="A98" i="25"/>
  <c r="B98" i="25"/>
  <c r="D98" i="25"/>
  <c r="E98" i="25"/>
  <c r="F98" i="25"/>
  <c r="A99" i="25"/>
  <c r="E99" i="25"/>
  <c r="A100" i="25"/>
  <c r="E100" i="25"/>
  <c r="A101" i="25"/>
  <c r="A103" i="25"/>
  <c r="A104" i="25"/>
  <c r="A105" i="25"/>
  <c r="A1" i="25"/>
  <c r="K93" i="25" l="1"/>
  <c r="P93" i="25"/>
  <c r="L93" i="25"/>
  <c r="N93" i="25"/>
  <c r="H93" i="25"/>
  <c r="Q93" i="25"/>
  <c r="M93" i="25"/>
  <c r="O93" i="25"/>
  <c r="I93" i="25"/>
  <c r="J93" i="25"/>
  <c r="M61" i="3"/>
  <c r="K39" i="3"/>
  <c r="AF39" i="3"/>
  <c r="M60" i="3"/>
  <c r="K60" i="3"/>
  <c r="C22" i="2"/>
  <c r="M37" i="3"/>
  <c r="N37" i="3"/>
  <c r="M30" i="3"/>
  <c r="M43" i="3"/>
  <c r="N22" i="3"/>
  <c r="M22" i="3"/>
  <c r="M7" i="3"/>
  <c r="AF8" i="3" l="1"/>
  <c r="AF68" i="3"/>
  <c r="B50" i="2"/>
  <c r="D11" i="2" l="1"/>
  <c r="M11" i="2" s="1"/>
  <c r="B12" i="1" s="1"/>
  <c r="C8" i="2"/>
  <c r="B12" i="25" l="1"/>
  <c r="G12" i="1"/>
  <c r="G12" i="25" s="1"/>
  <c r="R12" i="25" s="1"/>
  <c r="AF66" i="3"/>
  <c r="O45" i="7" l="1"/>
  <c r="B37" i="7"/>
  <c r="O17" i="7"/>
  <c r="O21" i="7"/>
  <c r="B13" i="7"/>
  <c r="C12" i="7"/>
  <c r="P25" i="7"/>
  <c r="C25" i="7"/>
  <c r="B25" i="7"/>
  <c r="K36" i="7"/>
  <c r="B34" i="10"/>
  <c r="B10" i="10"/>
  <c r="B13" i="10"/>
  <c r="B33" i="10"/>
  <c r="B37" i="10"/>
  <c r="B27" i="10"/>
  <c r="C25" i="8"/>
  <c r="B25" i="8"/>
  <c r="C53" i="8"/>
  <c r="B13" i="9"/>
  <c r="B10" i="9"/>
  <c r="E35" i="12"/>
  <c r="E33" i="12"/>
  <c r="B34" i="12"/>
  <c r="B33" i="12"/>
  <c r="B37" i="12"/>
  <c r="B35" i="12"/>
  <c r="B12" i="12"/>
  <c r="I12" i="12"/>
  <c r="H12" i="12"/>
  <c r="E10" i="12"/>
  <c r="I13" i="12"/>
  <c r="E13" i="12"/>
  <c r="B13" i="12"/>
  <c r="B10" i="12"/>
  <c r="C33" i="12"/>
  <c r="C27" i="12"/>
  <c r="C21" i="12"/>
  <c r="B27" i="12" l="1"/>
  <c r="C8" i="12"/>
  <c r="K33" i="13"/>
  <c r="B33" i="13"/>
  <c r="B37" i="13"/>
  <c r="B27" i="13"/>
  <c r="L27" i="13"/>
  <c r="L12" i="13"/>
  <c r="L33" i="13" l="1"/>
  <c r="B54" i="4" l="1"/>
  <c r="B53" i="4"/>
  <c r="B42" i="4"/>
  <c r="C19" i="4"/>
  <c r="C13" i="4"/>
  <c r="B31" i="4"/>
  <c r="B8" i="4"/>
  <c r="N70" i="1"/>
  <c r="N53" i="1"/>
  <c r="N15" i="1"/>
  <c r="N24" i="1"/>
  <c r="L8" i="1" l="1"/>
  <c r="E62" i="1"/>
  <c r="E75" i="25" s="1"/>
  <c r="E61" i="1"/>
  <c r="E74" i="25" s="1"/>
  <c r="L49" i="6" l="1"/>
  <c r="L48" i="6"/>
  <c r="L47" i="6"/>
  <c r="E47" i="20"/>
  <c r="E49" i="20"/>
  <c r="E46" i="20"/>
  <c r="B48" i="6"/>
  <c r="B47" i="6"/>
  <c r="AF47" i="6"/>
  <c r="AF51" i="6"/>
  <c r="AE48" i="6"/>
  <c r="AE47" i="6"/>
  <c r="AF67" i="6"/>
  <c r="AF66" i="6"/>
  <c r="B46" i="18"/>
  <c r="E47" i="15"/>
  <c r="D46" i="17"/>
  <c r="H39" i="17"/>
  <c r="C27" i="10" l="1"/>
  <c r="C33" i="10"/>
  <c r="C21" i="10"/>
  <c r="M75" i="1" l="1"/>
  <c r="M53" i="1"/>
  <c r="M15" i="1"/>
  <c r="D27" i="8" l="1"/>
  <c r="D26" i="8"/>
  <c r="D25" i="8"/>
  <c r="D19" i="8"/>
  <c r="D20" i="8"/>
  <c r="D21" i="8"/>
  <c r="D17" i="8"/>
  <c r="D9" i="8"/>
  <c r="D11" i="8"/>
  <c r="D12" i="8"/>
  <c r="D13" i="8"/>
  <c r="C18" i="8" l="1"/>
  <c r="B18" i="8"/>
  <c r="D18" i="8" s="1"/>
  <c r="C10" i="8"/>
  <c r="B10" i="8"/>
  <c r="D10" i="8" s="1"/>
  <c r="C8" i="8"/>
  <c r="B8" i="8"/>
  <c r="D8" i="8" s="1"/>
  <c r="D9" i="12"/>
  <c r="D10" i="12"/>
  <c r="D11" i="12"/>
  <c r="D12" i="12"/>
  <c r="D13" i="12"/>
  <c r="D17" i="12"/>
  <c r="D18" i="12"/>
  <c r="D19" i="12"/>
  <c r="D20" i="12"/>
  <c r="D21" i="12"/>
  <c r="D25" i="12"/>
  <c r="D26" i="12"/>
  <c r="D27" i="12"/>
  <c r="C8" i="10"/>
  <c r="C52" i="10"/>
  <c r="D8" i="12"/>
  <c r="F45" i="7"/>
  <c r="F13" i="7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7" i="2"/>
  <c r="D48" i="2"/>
  <c r="D49" i="2"/>
  <c r="N35" i="1"/>
  <c r="L53" i="1"/>
  <c r="K53" i="1"/>
  <c r="K8" i="1"/>
  <c r="L86" i="1"/>
  <c r="K87" i="1"/>
  <c r="M66" i="1"/>
  <c r="D46" i="2"/>
  <c r="B64" i="4" l="1"/>
  <c r="C33" i="7" l="1"/>
  <c r="M78" i="1" l="1"/>
  <c r="N67" i="1"/>
  <c r="M67" i="1"/>
  <c r="M54" i="1" l="1"/>
  <c r="M27" i="1"/>
  <c r="M19" i="1"/>
  <c r="M56" i="1" l="1"/>
  <c r="M57" i="1" s="1"/>
  <c r="G48" i="18" l="1"/>
  <c r="D48" i="18"/>
  <c r="H48" i="18" s="1"/>
  <c r="Y49" i="6" s="1"/>
  <c r="B13" i="14" l="1"/>
  <c r="G68" i="6"/>
  <c r="G61" i="6"/>
  <c r="G52" i="6"/>
  <c r="G63" i="6" s="1"/>
  <c r="G70" i="6" s="1"/>
  <c r="G42" i="6"/>
  <c r="G72" i="6" s="1"/>
  <c r="G21" i="6"/>
  <c r="G13" i="6"/>
  <c r="G71" i="6" l="1"/>
  <c r="G44" i="6"/>
  <c r="AC60" i="3"/>
  <c r="D45" i="8" l="1"/>
  <c r="D50" i="2" l="1"/>
  <c r="C51" i="2"/>
  <c r="C65" i="4"/>
  <c r="D65" i="4"/>
  <c r="E65" i="4"/>
  <c r="F65" i="4"/>
  <c r="B65" i="4" l="1"/>
  <c r="O87" i="1" l="1"/>
  <c r="O82" i="1"/>
  <c r="O83" i="1"/>
  <c r="O84" i="1"/>
  <c r="O85" i="1"/>
  <c r="I78" i="1"/>
  <c r="J78" i="1"/>
  <c r="K78" i="1"/>
  <c r="L78" i="1"/>
  <c r="N78" i="1"/>
  <c r="H78" i="1"/>
  <c r="O71" i="1"/>
  <c r="O72" i="1"/>
  <c r="O73" i="1"/>
  <c r="O74" i="1"/>
  <c r="O75" i="1"/>
  <c r="O76" i="1"/>
  <c r="O77" i="1"/>
  <c r="O70" i="1"/>
  <c r="I88" i="1"/>
  <c r="J88" i="1"/>
  <c r="K88" i="1"/>
  <c r="L88" i="1"/>
  <c r="N88" i="1"/>
  <c r="Q88" i="1"/>
  <c r="H88" i="1"/>
  <c r="O86" i="1"/>
  <c r="I67" i="1"/>
  <c r="J67" i="1"/>
  <c r="K67" i="1"/>
  <c r="L67" i="1"/>
  <c r="Q67" i="1"/>
  <c r="H67" i="1"/>
  <c r="O59" i="1"/>
  <c r="O60" i="1"/>
  <c r="O61" i="1"/>
  <c r="O62" i="1"/>
  <c r="O63" i="1"/>
  <c r="O64" i="1"/>
  <c r="O65" i="1"/>
  <c r="O66" i="1"/>
  <c r="W49" i="15"/>
  <c r="T49" i="15"/>
  <c r="Q49" i="15"/>
  <c r="M49" i="15"/>
  <c r="J49" i="15"/>
  <c r="G49" i="15"/>
  <c r="D49" i="15"/>
  <c r="X48" i="17"/>
  <c r="U48" i="17"/>
  <c r="R48" i="17"/>
  <c r="O48" i="17"/>
  <c r="L48" i="17"/>
  <c r="I48" i="17"/>
  <c r="F48" i="17"/>
  <c r="D35" i="11"/>
  <c r="H35" i="5" s="1"/>
  <c r="M35" i="13"/>
  <c r="J35" i="13"/>
  <c r="G35" i="13"/>
  <c r="D35" i="13"/>
  <c r="J35" i="12"/>
  <c r="G35" i="12"/>
  <c r="D35" i="12"/>
  <c r="H35" i="9"/>
  <c r="D35" i="9"/>
  <c r="Q35" i="7"/>
  <c r="N35" i="7"/>
  <c r="J35" i="7"/>
  <c r="G35" i="7"/>
  <c r="D35" i="7"/>
  <c r="D35" i="8"/>
  <c r="F35" i="8" s="1"/>
  <c r="C35" i="5" s="1"/>
  <c r="D35" i="10"/>
  <c r="F35" i="10" s="1"/>
  <c r="B35" i="5" s="1"/>
  <c r="K35" i="12" l="1"/>
  <c r="F35" i="5" s="1"/>
  <c r="R35" i="7"/>
  <c r="D35" i="5" s="1"/>
  <c r="I35" i="9"/>
  <c r="E35" i="5" s="1"/>
  <c r="O78" i="1"/>
  <c r="O88" i="1"/>
  <c r="N35" i="13"/>
  <c r="G35" i="5" s="1"/>
  <c r="Y48" i="17"/>
  <c r="Z49" i="6" s="1"/>
  <c r="O67" i="1"/>
  <c r="N49" i="15"/>
  <c r="Y49" i="15" s="1"/>
  <c r="AA49" i="6" s="1"/>
  <c r="J35" i="5" l="1"/>
  <c r="D63" i="1" s="1"/>
  <c r="D76" i="25" s="1"/>
  <c r="U37" i="6"/>
  <c r="U38" i="6"/>
  <c r="U39" i="6"/>
  <c r="U40" i="6"/>
  <c r="I54" i="1"/>
  <c r="J54" i="1"/>
  <c r="K54" i="1"/>
  <c r="L54" i="1"/>
  <c r="N54" i="1"/>
  <c r="H54" i="1"/>
  <c r="O47" i="1"/>
  <c r="O48" i="1"/>
  <c r="O49" i="1"/>
  <c r="O50" i="1"/>
  <c r="O51" i="1"/>
  <c r="O52" i="1"/>
  <c r="O53" i="1"/>
  <c r="O35" i="1"/>
  <c r="O36" i="1"/>
  <c r="O37" i="1"/>
  <c r="O38" i="1"/>
  <c r="O39" i="1"/>
  <c r="O40" i="1"/>
  <c r="O41" i="1"/>
  <c r="O42" i="1"/>
  <c r="O43" i="1"/>
  <c r="O44" i="1"/>
  <c r="O45" i="1"/>
  <c r="O46" i="1"/>
  <c r="O54" i="1" l="1"/>
  <c r="I27" i="1"/>
  <c r="I56" i="1" s="1"/>
  <c r="J27" i="1"/>
  <c r="J56" i="1" s="1"/>
  <c r="K27" i="1"/>
  <c r="K56" i="1" s="1"/>
  <c r="L27" i="1"/>
  <c r="L56" i="1" s="1"/>
  <c r="N27" i="1"/>
  <c r="N56" i="1" s="1"/>
  <c r="Q27" i="1"/>
  <c r="Q56" i="1" s="1"/>
  <c r="H27" i="1"/>
  <c r="H56" i="1" s="1"/>
  <c r="O23" i="1" l="1"/>
  <c r="O24" i="1"/>
  <c r="O25" i="1"/>
  <c r="O26" i="1"/>
  <c r="O22" i="1"/>
  <c r="B20" i="17"/>
  <c r="B13" i="17"/>
  <c r="Q19" i="1"/>
  <c r="Q57" i="1" s="1"/>
  <c r="O9" i="1"/>
  <c r="O10" i="1"/>
  <c r="O11" i="1"/>
  <c r="O13" i="1"/>
  <c r="O14" i="1"/>
  <c r="O15" i="1"/>
  <c r="O16" i="1"/>
  <c r="O17" i="1"/>
  <c r="O18" i="1"/>
  <c r="I19" i="1"/>
  <c r="I57" i="1" s="1"/>
  <c r="J19" i="1"/>
  <c r="J57" i="1" s="1"/>
  <c r="K19" i="1"/>
  <c r="K57" i="1" s="1"/>
  <c r="L19" i="1"/>
  <c r="L57" i="1" s="1"/>
  <c r="N19" i="1"/>
  <c r="N57" i="1" s="1"/>
  <c r="H19" i="1"/>
  <c r="H57" i="1" s="1"/>
  <c r="O27" i="1" l="1"/>
  <c r="O56" i="1" s="1"/>
  <c r="F9" i="8"/>
  <c r="O8" i="1"/>
  <c r="O19" i="1" s="1"/>
  <c r="C41" i="18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D40" i="15"/>
  <c r="O57" i="1" l="1"/>
  <c r="AF68" i="6"/>
  <c r="G60" i="4"/>
  <c r="G61" i="4"/>
  <c r="G62" i="4"/>
  <c r="H60" i="4"/>
  <c r="C83" i="1" s="1"/>
  <c r="H61" i="4"/>
  <c r="C84" i="1" s="1"/>
  <c r="H62" i="4"/>
  <c r="C85" i="1" s="1"/>
  <c r="G84" i="1" l="1"/>
  <c r="C97" i="25"/>
  <c r="G85" i="1"/>
  <c r="C98" i="25"/>
  <c r="G83" i="1"/>
  <c r="C96" i="25"/>
  <c r="G8" i="7"/>
  <c r="G9" i="7"/>
  <c r="G10" i="7"/>
  <c r="G11" i="7"/>
  <c r="G12" i="7"/>
  <c r="G13" i="7"/>
  <c r="E14" i="7"/>
  <c r="F14" i="7"/>
  <c r="G17" i="7"/>
  <c r="G18" i="7"/>
  <c r="G19" i="7"/>
  <c r="G20" i="7"/>
  <c r="G21" i="7"/>
  <c r="E22" i="7"/>
  <c r="F22" i="7"/>
  <c r="G25" i="7"/>
  <c r="G26" i="7"/>
  <c r="G27" i="7"/>
  <c r="E28" i="7"/>
  <c r="E58" i="7" s="1"/>
  <c r="F28" i="7"/>
  <c r="F58" i="7" s="1"/>
  <c r="G33" i="7"/>
  <c r="G34" i="7"/>
  <c r="G36" i="7"/>
  <c r="G37" i="7"/>
  <c r="E38" i="7"/>
  <c r="F38" i="7"/>
  <c r="G42" i="7"/>
  <c r="G43" i="7"/>
  <c r="G44" i="7"/>
  <c r="G45" i="7"/>
  <c r="G46" i="7"/>
  <c r="E47" i="7"/>
  <c r="F47" i="7"/>
  <c r="G51" i="7"/>
  <c r="G52" i="7"/>
  <c r="G53" i="7"/>
  <c r="E54" i="7"/>
  <c r="F54" i="7"/>
  <c r="R32" i="7"/>
  <c r="R39" i="7"/>
  <c r="R40" i="7"/>
  <c r="R41" i="7"/>
  <c r="R48" i="7"/>
  <c r="R50" i="7"/>
  <c r="R55" i="7"/>
  <c r="K32" i="12"/>
  <c r="J53" i="12"/>
  <c r="J52" i="12"/>
  <c r="J51" i="12"/>
  <c r="J46" i="12"/>
  <c r="J45" i="12"/>
  <c r="J44" i="12"/>
  <c r="J43" i="12"/>
  <c r="J42" i="12"/>
  <c r="J37" i="12"/>
  <c r="J36" i="12"/>
  <c r="J34" i="12"/>
  <c r="J33" i="12"/>
  <c r="J27" i="12"/>
  <c r="J26" i="12"/>
  <c r="J25" i="12"/>
  <c r="J21" i="12"/>
  <c r="J20" i="12"/>
  <c r="J19" i="12"/>
  <c r="J18" i="12"/>
  <c r="J17" i="12"/>
  <c r="J13" i="12"/>
  <c r="J12" i="12"/>
  <c r="J11" i="12"/>
  <c r="J10" i="12"/>
  <c r="J9" i="12"/>
  <c r="J8" i="12"/>
  <c r="I54" i="12"/>
  <c r="H54" i="12"/>
  <c r="I47" i="12"/>
  <c r="H47" i="12"/>
  <c r="I38" i="12"/>
  <c r="H38" i="12"/>
  <c r="I28" i="12"/>
  <c r="I58" i="12" s="1"/>
  <c r="H28" i="12"/>
  <c r="H58" i="12" s="1"/>
  <c r="I22" i="12"/>
  <c r="H22" i="12"/>
  <c r="I14" i="12"/>
  <c r="H14" i="12"/>
  <c r="E19" i="1"/>
  <c r="E24" i="25" s="1"/>
  <c r="W25" i="15"/>
  <c r="W26" i="15"/>
  <c r="W27" i="15"/>
  <c r="W28" i="15"/>
  <c r="W29" i="15"/>
  <c r="W30" i="15"/>
  <c r="W31" i="15"/>
  <c r="W32" i="15"/>
  <c r="W33" i="15"/>
  <c r="W34" i="15"/>
  <c r="W35" i="15"/>
  <c r="W36" i="15"/>
  <c r="W37" i="15"/>
  <c r="W38" i="15"/>
  <c r="W39" i="15"/>
  <c r="W40" i="15"/>
  <c r="W41" i="15"/>
  <c r="T25" i="15"/>
  <c r="T26" i="15"/>
  <c r="T27" i="15"/>
  <c r="T28" i="15"/>
  <c r="T29" i="15"/>
  <c r="T30" i="15"/>
  <c r="T31" i="15"/>
  <c r="T32" i="15"/>
  <c r="T33" i="15"/>
  <c r="T34" i="15"/>
  <c r="T35" i="15"/>
  <c r="T36" i="15"/>
  <c r="T37" i="15"/>
  <c r="T38" i="15"/>
  <c r="T39" i="15"/>
  <c r="T40" i="15"/>
  <c r="T41" i="15"/>
  <c r="Q25" i="15"/>
  <c r="Q26" i="15"/>
  <c r="Q27" i="15"/>
  <c r="Q28" i="15"/>
  <c r="Q29" i="15"/>
  <c r="Q30" i="15"/>
  <c r="Q31" i="15"/>
  <c r="Q32" i="15"/>
  <c r="Q33" i="15"/>
  <c r="Q34" i="15"/>
  <c r="Q35" i="15"/>
  <c r="Q36" i="15"/>
  <c r="Q37" i="15"/>
  <c r="Q38" i="15"/>
  <c r="Q39" i="15"/>
  <c r="Q40" i="15"/>
  <c r="Q41" i="15"/>
  <c r="M25" i="15"/>
  <c r="M26" i="15"/>
  <c r="M27" i="15"/>
  <c r="M28" i="15"/>
  <c r="M29" i="15"/>
  <c r="M30" i="15"/>
  <c r="M31" i="15"/>
  <c r="M32" i="15"/>
  <c r="M33" i="15"/>
  <c r="M34" i="15"/>
  <c r="M35" i="15"/>
  <c r="M36" i="15"/>
  <c r="M37" i="15"/>
  <c r="M38" i="15"/>
  <c r="M39" i="15"/>
  <c r="M40" i="15"/>
  <c r="M41" i="15"/>
  <c r="J25" i="15"/>
  <c r="J26" i="15"/>
  <c r="J27" i="15"/>
  <c r="J28" i="15"/>
  <c r="J29" i="15"/>
  <c r="J30" i="15"/>
  <c r="J31" i="15"/>
  <c r="J32" i="15"/>
  <c r="J33" i="15"/>
  <c r="J34" i="15"/>
  <c r="J35" i="15"/>
  <c r="J36" i="15"/>
  <c r="J37" i="15"/>
  <c r="J38" i="15"/>
  <c r="J39" i="15"/>
  <c r="J40" i="15"/>
  <c r="J41" i="15"/>
  <c r="X24" i="17"/>
  <c r="X25" i="17"/>
  <c r="X26" i="17"/>
  <c r="X27" i="17"/>
  <c r="X28" i="17"/>
  <c r="X29" i="17"/>
  <c r="X30" i="17"/>
  <c r="X31" i="17"/>
  <c r="X32" i="17"/>
  <c r="X33" i="17"/>
  <c r="X34" i="17"/>
  <c r="X35" i="17"/>
  <c r="X36" i="17"/>
  <c r="X37" i="17"/>
  <c r="X38" i="17"/>
  <c r="X39" i="17"/>
  <c r="U24" i="17"/>
  <c r="U25" i="17"/>
  <c r="U26" i="17"/>
  <c r="U27" i="17"/>
  <c r="U28" i="17"/>
  <c r="U29" i="17"/>
  <c r="U30" i="17"/>
  <c r="U31" i="17"/>
  <c r="U32" i="17"/>
  <c r="U33" i="17"/>
  <c r="U34" i="17"/>
  <c r="U35" i="17"/>
  <c r="U36" i="17"/>
  <c r="U37" i="17"/>
  <c r="U38" i="17"/>
  <c r="U39" i="17"/>
  <c r="R24" i="17"/>
  <c r="R25" i="17"/>
  <c r="R26" i="17"/>
  <c r="R27" i="17"/>
  <c r="R28" i="17"/>
  <c r="R29" i="17"/>
  <c r="R30" i="17"/>
  <c r="R31" i="17"/>
  <c r="R32" i="17"/>
  <c r="R33" i="17"/>
  <c r="R34" i="17"/>
  <c r="R35" i="17"/>
  <c r="R36" i="17"/>
  <c r="R37" i="17"/>
  <c r="R38" i="17"/>
  <c r="R39" i="17"/>
  <c r="R40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L39" i="17"/>
  <c r="L40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I39" i="17"/>
  <c r="I40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G24" i="18"/>
  <c r="G25" i="18"/>
  <c r="G26" i="18"/>
  <c r="G27" i="18"/>
  <c r="G28" i="18"/>
  <c r="G29" i="18"/>
  <c r="G30" i="18"/>
  <c r="G31" i="18"/>
  <c r="G32" i="18"/>
  <c r="G33" i="18"/>
  <c r="G34" i="18"/>
  <c r="G35" i="18"/>
  <c r="G36" i="18"/>
  <c r="G37" i="18"/>
  <c r="G38" i="18"/>
  <c r="G39" i="18"/>
  <c r="D24" i="18"/>
  <c r="H24" i="18" s="1"/>
  <c r="Y25" i="6" s="1"/>
  <c r="D25" i="18"/>
  <c r="H25" i="18" s="1"/>
  <c r="Y26" i="6" s="1"/>
  <c r="D26" i="18"/>
  <c r="H26" i="18" s="1"/>
  <c r="Y27" i="6" s="1"/>
  <c r="D27" i="18"/>
  <c r="H27" i="18" s="1"/>
  <c r="Y28" i="6" s="1"/>
  <c r="D28" i="18"/>
  <c r="D29" i="18"/>
  <c r="H29" i="18" s="1"/>
  <c r="Y30" i="6" s="1"/>
  <c r="D30" i="18"/>
  <c r="H30" i="18" s="1"/>
  <c r="Y31" i="6" s="1"/>
  <c r="D31" i="18"/>
  <c r="H31" i="18" s="1"/>
  <c r="Y32" i="6" s="1"/>
  <c r="D32" i="18"/>
  <c r="H32" i="18" s="1"/>
  <c r="Y33" i="6" s="1"/>
  <c r="D33" i="18"/>
  <c r="H33" i="18" s="1"/>
  <c r="Y34" i="6" s="1"/>
  <c r="D34" i="18"/>
  <c r="H34" i="18" s="1"/>
  <c r="Y35" i="6" s="1"/>
  <c r="D35" i="18"/>
  <c r="H35" i="18" s="1"/>
  <c r="Y36" i="6" s="1"/>
  <c r="D36" i="18"/>
  <c r="H36" i="18" s="1"/>
  <c r="Y37" i="6" s="1"/>
  <c r="D37" i="18"/>
  <c r="H37" i="18" s="1"/>
  <c r="Y38" i="6" s="1"/>
  <c r="D38" i="18"/>
  <c r="H38" i="18" s="1"/>
  <c r="Y39" i="6" s="1"/>
  <c r="D39" i="18"/>
  <c r="X37" i="6"/>
  <c r="X38" i="6"/>
  <c r="X39" i="6"/>
  <c r="X40" i="6"/>
  <c r="X41" i="6"/>
  <c r="X25" i="6"/>
  <c r="X26" i="6"/>
  <c r="X27" i="6"/>
  <c r="X28" i="6"/>
  <c r="X29" i="6"/>
  <c r="X30" i="6"/>
  <c r="X31" i="6"/>
  <c r="X32" i="6"/>
  <c r="X33" i="6"/>
  <c r="X34" i="6"/>
  <c r="X35" i="6"/>
  <c r="E24" i="19"/>
  <c r="AB25" i="6" s="1"/>
  <c r="E25" i="19"/>
  <c r="AB26" i="6" s="1"/>
  <c r="E26" i="19"/>
  <c r="AB27" i="6" s="1"/>
  <c r="E27" i="19"/>
  <c r="AB28" i="6" s="1"/>
  <c r="E28" i="19"/>
  <c r="AB29" i="6" s="1"/>
  <c r="E29" i="19"/>
  <c r="AB30" i="6" s="1"/>
  <c r="E30" i="19"/>
  <c r="AB31" i="6" s="1"/>
  <c r="E31" i="19"/>
  <c r="AB32" i="6" s="1"/>
  <c r="E32" i="19"/>
  <c r="AB33" i="6" s="1"/>
  <c r="E33" i="19"/>
  <c r="AB34" i="6" s="1"/>
  <c r="E34" i="19"/>
  <c r="AB35" i="6" s="1"/>
  <c r="E35" i="19"/>
  <c r="AB36" i="6" s="1"/>
  <c r="E36" i="19"/>
  <c r="AB37" i="6" s="1"/>
  <c r="E37" i="19"/>
  <c r="AB38" i="6" s="1"/>
  <c r="E38" i="19"/>
  <c r="AB39" i="6" s="1"/>
  <c r="E39" i="19"/>
  <c r="AB40" i="6" s="1"/>
  <c r="E40" i="19"/>
  <c r="AB41" i="6" s="1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Q25" i="6"/>
  <c r="Q26" i="6"/>
  <c r="Q27" i="6"/>
  <c r="Q28" i="6"/>
  <c r="Q29" i="6"/>
  <c r="Q30" i="6"/>
  <c r="Q31" i="6"/>
  <c r="Q32" i="6"/>
  <c r="Q33" i="6"/>
  <c r="Q34" i="6"/>
  <c r="Q35" i="6"/>
  <c r="Q36" i="6"/>
  <c r="Q37" i="6"/>
  <c r="Q38" i="6"/>
  <c r="Q39" i="6"/>
  <c r="Q40" i="6"/>
  <c r="Q41" i="6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D24" i="20"/>
  <c r="H24" i="20" s="1"/>
  <c r="AH25" i="6" s="1"/>
  <c r="D25" i="20"/>
  <c r="D26" i="20"/>
  <c r="D27" i="20"/>
  <c r="D28" i="20"/>
  <c r="D29" i="20"/>
  <c r="D30" i="20"/>
  <c r="D31" i="20"/>
  <c r="D32" i="20"/>
  <c r="H32" i="20" s="1"/>
  <c r="AH33" i="6" s="1"/>
  <c r="D33" i="20"/>
  <c r="D34" i="20"/>
  <c r="D35" i="20"/>
  <c r="D36" i="20"/>
  <c r="D37" i="20"/>
  <c r="D38" i="20"/>
  <c r="D39" i="20"/>
  <c r="D40" i="20"/>
  <c r="AG25" i="6"/>
  <c r="AG26" i="6"/>
  <c r="AG27" i="6"/>
  <c r="AG28" i="6"/>
  <c r="AG29" i="6"/>
  <c r="AG30" i="6"/>
  <c r="AG31" i="6"/>
  <c r="AG32" i="6"/>
  <c r="AG33" i="6"/>
  <c r="AG34" i="6"/>
  <c r="AG35" i="6"/>
  <c r="AG36" i="6"/>
  <c r="AG37" i="6"/>
  <c r="AG38" i="6"/>
  <c r="AG39" i="6"/>
  <c r="AG40" i="6"/>
  <c r="D24" i="14"/>
  <c r="D25" i="14"/>
  <c r="D26" i="14"/>
  <c r="D27" i="14"/>
  <c r="D28" i="14"/>
  <c r="D29" i="14"/>
  <c r="D30" i="14"/>
  <c r="D31" i="14"/>
  <c r="D32" i="14"/>
  <c r="I32" i="14" s="1"/>
  <c r="D33" i="6" s="1"/>
  <c r="D33" i="14"/>
  <c r="D34" i="14"/>
  <c r="D35" i="14"/>
  <c r="D36" i="14"/>
  <c r="D37" i="14"/>
  <c r="D38" i="14"/>
  <c r="D39" i="14"/>
  <c r="G24" i="14"/>
  <c r="G25" i="14"/>
  <c r="G26" i="14"/>
  <c r="G27" i="14"/>
  <c r="G28" i="14"/>
  <c r="G29" i="14"/>
  <c r="G30" i="14"/>
  <c r="G31" i="14"/>
  <c r="G32" i="14"/>
  <c r="G33" i="14"/>
  <c r="G34" i="14"/>
  <c r="G35" i="14"/>
  <c r="G36" i="14"/>
  <c r="G37" i="14"/>
  <c r="G38" i="14"/>
  <c r="G39" i="14"/>
  <c r="I24" i="14"/>
  <c r="D25" i="6" s="1"/>
  <c r="I25" i="14"/>
  <c r="D26" i="6" s="1"/>
  <c r="I26" i="14"/>
  <c r="D27" i="6" s="1"/>
  <c r="I27" i="14"/>
  <c r="D28" i="6" s="1"/>
  <c r="I28" i="14"/>
  <c r="D29" i="6" s="1"/>
  <c r="I29" i="14"/>
  <c r="D30" i="6" s="1"/>
  <c r="I30" i="14"/>
  <c r="D31" i="6" s="1"/>
  <c r="I36" i="14"/>
  <c r="D37" i="6" s="1"/>
  <c r="E32" i="1"/>
  <c r="E43" i="25" s="1"/>
  <c r="E54" i="1"/>
  <c r="E78" i="1"/>
  <c r="E91" i="25" s="1"/>
  <c r="J67" i="17"/>
  <c r="E88" i="1"/>
  <c r="E101" i="25" s="1"/>
  <c r="B21" i="6"/>
  <c r="B11" i="22"/>
  <c r="C11" i="22"/>
  <c r="B54" i="10"/>
  <c r="C54" i="10"/>
  <c r="I37" i="14" l="1"/>
  <c r="D38" i="6" s="1"/>
  <c r="I33" i="14"/>
  <c r="D34" i="6" s="1"/>
  <c r="P85" i="1"/>
  <c r="R85" i="1" s="1"/>
  <c r="G98" i="25"/>
  <c r="R98" i="25" s="1"/>
  <c r="E92" i="1"/>
  <c r="E105" i="25" s="1"/>
  <c r="E67" i="25"/>
  <c r="N38" i="15"/>
  <c r="N34" i="15"/>
  <c r="Y34" i="15" s="1"/>
  <c r="AA34" i="6" s="1"/>
  <c r="N30" i="15"/>
  <c r="N26" i="15"/>
  <c r="Y26" i="15" s="1"/>
  <c r="AA26" i="6" s="1"/>
  <c r="P83" i="1"/>
  <c r="R83" i="1" s="1"/>
  <c r="G96" i="25"/>
  <c r="R96" i="25" s="1"/>
  <c r="P84" i="1"/>
  <c r="R84" i="1" s="1"/>
  <c r="G97" i="25"/>
  <c r="R97" i="25" s="1"/>
  <c r="I34" i="14"/>
  <c r="D35" i="6" s="1"/>
  <c r="I35" i="14"/>
  <c r="D36" i="6" s="1"/>
  <c r="H28" i="18"/>
  <c r="Y29" i="6" s="1"/>
  <c r="I31" i="14"/>
  <c r="D32" i="6" s="1"/>
  <c r="I39" i="14"/>
  <c r="D40" i="6" s="1"/>
  <c r="H37" i="20"/>
  <c r="AH38" i="6" s="1"/>
  <c r="H33" i="20"/>
  <c r="AH34" i="6" s="1"/>
  <c r="H29" i="20"/>
  <c r="AH30" i="6" s="1"/>
  <c r="H25" i="20"/>
  <c r="AH26" i="6" s="1"/>
  <c r="N39" i="15"/>
  <c r="Y39" i="15" s="1"/>
  <c r="AA39" i="6" s="1"/>
  <c r="N35" i="15"/>
  <c r="Y35" i="15" s="1"/>
  <c r="AA35" i="6" s="1"/>
  <c r="N31" i="15"/>
  <c r="Y31" i="15" s="1"/>
  <c r="AA31" i="6" s="1"/>
  <c r="N27" i="15"/>
  <c r="Y27" i="15" s="1"/>
  <c r="AA27" i="6" s="1"/>
  <c r="G38" i="7"/>
  <c r="F49" i="7"/>
  <c r="F56" i="7" s="1"/>
  <c r="F57" i="7" s="1"/>
  <c r="Y37" i="17"/>
  <c r="Z38" i="6" s="1"/>
  <c r="Y25" i="17"/>
  <c r="Z26" i="6" s="1"/>
  <c r="Y36" i="17"/>
  <c r="Z37" i="6" s="1"/>
  <c r="Y32" i="17"/>
  <c r="Z33" i="6" s="1"/>
  <c r="Y28" i="17"/>
  <c r="Z29" i="6" s="1"/>
  <c r="Y24" i="17"/>
  <c r="Z25" i="6" s="1"/>
  <c r="Y29" i="17"/>
  <c r="Z30" i="6" s="1"/>
  <c r="Y35" i="17"/>
  <c r="Z36" i="6" s="1"/>
  <c r="Y31" i="17"/>
  <c r="Z32" i="6" s="1"/>
  <c r="Y27" i="17"/>
  <c r="Z28" i="6" s="1"/>
  <c r="Y33" i="17"/>
  <c r="Z34" i="6" s="1"/>
  <c r="Y38" i="17"/>
  <c r="Z39" i="6" s="1"/>
  <c r="Y34" i="17"/>
  <c r="Z35" i="6" s="1"/>
  <c r="Y30" i="17"/>
  <c r="Z31" i="6" s="1"/>
  <c r="Y26" i="17"/>
  <c r="Z27" i="6" s="1"/>
  <c r="Y39" i="17"/>
  <c r="Z40" i="6" s="1"/>
  <c r="G28" i="7"/>
  <c r="G58" i="7" s="1"/>
  <c r="H39" i="18"/>
  <c r="Y40" i="6" s="1"/>
  <c r="I38" i="14"/>
  <c r="D39" i="6" s="1"/>
  <c r="N40" i="15"/>
  <c r="Y40" i="15" s="1"/>
  <c r="AA40" i="6" s="1"/>
  <c r="N32" i="15"/>
  <c r="Y32" i="15" s="1"/>
  <c r="AA32" i="6" s="1"/>
  <c r="N28" i="15"/>
  <c r="Y28" i="15" s="1"/>
  <c r="AA28" i="6" s="1"/>
  <c r="G47" i="7"/>
  <c r="H40" i="20"/>
  <c r="H38" i="20"/>
  <c r="AH39" i="6" s="1"/>
  <c r="H34" i="20"/>
  <c r="AH35" i="6" s="1"/>
  <c r="H30" i="20"/>
  <c r="AH31" i="6" s="1"/>
  <c r="H26" i="20"/>
  <c r="AH27" i="6" s="1"/>
  <c r="J14" i="12"/>
  <c r="Y38" i="15"/>
  <c r="AA38" i="6" s="1"/>
  <c r="Y30" i="15"/>
  <c r="AA30" i="6" s="1"/>
  <c r="N37" i="15"/>
  <c r="Y37" i="15" s="1"/>
  <c r="AA37" i="6" s="1"/>
  <c r="N33" i="15"/>
  <c r="Y33" i="15" s="1"/>
  <c r="AA33" i="6" s="1"/>
  <c r="N29" i="15"/>
  <c r="Y29" i="15" s="1"/>
  <c r="AA29" i="6" s="1"/>
  <c r="N25" i="15"/>
  <c r="Y25" i="15" s="1"/>
  <c r="AA25" i="6" s="1"/>
  <c r="J54" i="12"/>
  <c r="E30" i="7"/>
  <c r="E31" i="7" s="1"/>
  <c r="E27" i="1"/>
  <c r="H36" i="20"/>
  <c r="AH37" i="6" s="1"/>
  <c r="H28" i="20"/>
  <c r="AH29" i="6" s="1"/>
  <c r="I30" i="12"/>
  <c r="I31" i="12" s="1"/>
  <c r="I49" i="12"/>
  <c r="I56" i="12" s="1"/>
  <c r="I57" i="12" s="1"/>
  <c r="G54" i="7"/>
  <c r="H39" i="20"/>
  <c r="AH40" i="6" s="1"/>
  <c r="H35" i="20"/>
  <c r="H31" i="20"/>
  <c r="AH32" i="6" s="1"/>
  <c r="H27" i="20"/>
  <c r="AH28" i="6" s="1"/>
  <c r="H30" i="12"/>
  <c r="H31" i="12" s="1"/>
  <c r="H49" i="12"/>
  <c r="H56" i="12" s="1"/>
  <c r="H57" i="12" s="1"/>
  <c r="J22" i="12"/>
  <c r="J38" i="12"/>
  <c r="J47" i="12"/>
  <c r="E49" i="7"/>
  <c r="E56" i="7" s="1"/>
  <c r="E57" i="7" s="1"/>
  <c r="G14" i="7"/>
  <c r="J28" i="12"/>
  <c r="J58" i="12" s="1"/>
  <c r="G22" i="7"/>
  <c r="E67" i="1"/>
  <c r="F30" i="7"/>
  <c r="F31" i="7" s="1"/>
  <c r="H8" i="9"/>
  <c r="G8" i="20"/>
  <c r="G8" i="18"/>
  <c r="I8" i="17"/>
  <c r="G8" i="16"/>
  <c r="G8" i="15"/>
  <c r="G8" i="14"/>
  <c r="G8" i="13"/>
  <c r="G8" i="12"/>
  <c r="G8" i="4"/>
  <c r="H8" i="4" s="1"/>
  <c r="E56" i="1" l="1"/>
  <c r="E69" i="25" s="1"/>
  <c r="E37" i="25"/>
  <c r="E80" i="1"/>
  <c r="E80" i="25"/>
  <c r="AI34" i="6"/>
  <c r="AI30" i="6"/>
  <c r="AI31" i="6"/>
  <c r="AI28" i="6"/>
  <c r="AI26" i="6"/>
  <c r="AI35" i="6"/>
  <c r="F46" i="1" s="1"/>
  <c r="AI38" i="6"/>
  <c r="F49" i="1" s="1"/>
  <c r="F61" i="25" s="1"/>
  <c r="AI27" i="6"/>
  <c r="AI37" i="6"/>
  <c r="AI25" i="6"/>
  <c r="AI33" i="6"/>
  <c r="AI32" i="6"/>
  <c r="G49" i="7"/>
  <c r="AI39" i="6"/>
  <c r="AI29" i="6"/>
  <c r="AI40" i="6"/>
  <c r="F51" i="1" s="1"/>
  <c r="F41" i="1"/>
  <c r="F48" i="1"/>
  <c r="F60" i="25" s="1"/>
  <c r="F50" i="1"/>
  <c r="F45" i="1"/>
  <c r="F37" i="1"/>
  <c r="F48" i="25" s="1"/>
  <c r="J30" i="12"/>
  <c r="J31" i="12" s="1"/>
  <c r="G30" i="7"/>
  <c r="G31" i="7" s="1"/>
  <c r="F35" i="1"/>
  <c r="F46" i="25" s="1"/>
  <c r="G56" i="7"/>
  <c r="G57" i="7" s="1"/>
  <c r="E57" i="1"/>
  <c r="E70" i="25" s="1"/>
  <c r="J49" i="12"/>
  <c r="J56" i="12" s="1"/>
  <c r="J57" i="12" s="1"/>
  <c r="G25" i="4"/>
  <c r="H25" i="4" s="1"/>
  <c r="C31" i="1" s="1"/>
  <c r="C41" i="25" s="1"/>
  <c r="G24" i="4"/>
  <c r="H24" i="4" s="1"/>
  <c r="C30" i="1" s="1"/>
  <c r="C40" i="25" s="1"/>
  <c r="C26" i="4"/>
  <c r="D26" i="4"/>
  <c r="E26" i="4"/>
  <c r="F26" i="4"/>
  <c r="B26" i="4"/>
  <c r="G50" i="1" l="1"/>
  <c r="F62" i="25"/>
  <c r="E90" i="1"/>
  <c r="E93" i="25"/>
  <c r="G46" i="1"/>
  <c r="F58" i="25"/>
  <c r="G45" i="1"/>
  <c r="F56" i="25"/>
  <c r="G41" i="1"/>
  <c r="F52" i="25"/>
  <c r="F42" i="1"/>
  <c r="F44" i="1"/>
  <c r="F40" i="1"/>
  <c r="F43" i="1"/>
  <c r="F39" i="1"/>
  <c r="F38" i="1"/>
  <c r="F63" i="25"/>
  <c r="G26" i="4"/>
  <c r="H26" i="4" s="1"/>
  <c r="C32" i="1" s="1"/>
  <c r="C43" i="25" s="1"/>
  <c r="G41" i="4"/>
  <c r="H41" i="4"/>
  <c r="C65" i="1" s="1"/>
  <c r="C78" i="25" s="1"/>
  <c r="E87" i="2"/>
  <c r="P46" i="1" l="1"/>
  <c r="R46" i="1" s="1"/>
  <c r="G58" i="25"/>
  <c r="R58" i="25" s="1"/>
  <c r="G44" i="1"/>
  <c r="F55" i="25"/>
  <c r="G39" i="1"/>
  <c r="F50" i="25"/>
  <c r="G42" i="1"/>
  <c r="F53" i="25"/>
  <c r="P45" i="1"/>
  <c r="R45" i="1" s="1"/>
  <c r="G56" i="25"/>
  <c r="R56" i="25" s="1"/>
  <c r="E91" i="1"/>
  <c r="E104" i="25" s="1"/>
  <c r="E103" i="25"/>
  <c r="G40" i="1"/>
  <c r="F51" i="25"/>
  <c r="P41" i="1"/>
  <c r="R41" i="1" s="1"/>
  <c r="G52" i="25"/>
  <c r="R52" i="25" s="1"/>
  <c r="P50" i="1"/>
  <c r="R50" i="1" s="1"/>
  <c r="G62" i="25"/>
  <c r="R62" i="25" s="1"/>
  <c r="G38" i="1"/>
  <c r="F49" i="25"/>
  <c r="G43" i="1"/>
  <c r="F54" i="25"/>
  <c r="G51" i="1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D27" i="2"/>
  <c r="M27" i="2" s="1"/>
  <c r="B28" i="2"/>
  <c r="L54" i="2"/>
  <c r="E28" i="2"/>
  <c r="F28" i="2"/>
  <c r="G28" i="2"/>
  <c r="H28" i="2"/>
  <c r="I28" i="2"/>
  <c r="J28" i="2"/>
  <c r="K28" i="2"/>
  <c r="B51" i="2"/>
  <c r="E51" i="2"/>
  <c r="F51" i="2"/>
  <c r="G51" i="2"/>
  <c r="H51" i="2"/>
  <c r="I51" i="2"/>
  <c r="J51" i="2"/>
  <c r="K51" i="2"/>
  <c r="P51" i="1" l="1"/>
  <c r="R51" i="1" s="1"/>
  <c r="G63" i="25"/>
  <c r="R63" i="25" s="1"/>
  <c r="P38" i="1"/>
  <c r="R38" i="1" s="1"/>
  <c r="G49" i="25"/>
  <c r="R49" i="25" s="1"/>
  <c r="P42" i="1"/>
  <c r="R42" i="1" s="1"/>
  <c r="G53" i="25"/>
  <c r="R53" i="25" s="1"/>
  <c r="P44" i="1"/>
  <c r="R44" i="1" s="1"/>
  <c r="G55" i="25"/>
  <c r="R55" i="25" s="1"/>
  <c r="P43" i="1"/>
  <c r="R43" i="1" s="1"/>
  <c r="G54" i="25"/>
  <c r="R54" i="25" s="1"/>
  <c r="P40" i="1"/>
  <c r="R40" i="1" s="1"/>
  <c r="G51" i="25"/>
  <c r="R51" i="25" s="1"/>
  <c r="P39" i="1"/>
  <c r="R39" i="1" s="1"/>
  <c r="G50" i="25"/>
  <c r="R50" i="25" s="1"/>
  <c r="B36" i="1"/>
  <c r="B31" i="1"/>
  <c r="D51" i="2"/>
  <c r="M51" i="2" s="1"/>
  <c r="M50" i="2"/>
  <c r="D26" i="2"/>
  <c r="M26" i="2" s="1"/>
  <c r="B30" i="1" s="1"/>
  <c r="B40" i="25" s="1"/>
  <c r="G36" i="1" l="1"/>
  <c r="B47" i="25"/>
  <c r="G31" i="1"/>
  <c r="G41" i="25" s="1"/>
  <c r="R41" i="25" s="1"/>
  <c r="B41" i="25"/>
  <c r="B32" i="1"/>
  <c r="B43" i="25" s="1"/>
  <c r="G30" i="1"/>
  <c r="G40" i="25" s="1"/>
  <c r="R40" i="25" s="1"/>
  <c r="D28" i="2"/>
  <c r="M28" i="2" s="1"/>
  <c r="D47" i="22"/>
  <c r="D48" i="22"/>
  <c r="D46" i="22"/>
  <c r="D35" i="22"/>
  <c r="D36" i="22"/>
  <c r="D32" i="22"/>
  <c r="D34" i="22"/>
  <c r="D33" i="22"/>
  <c r="D10" i="22"/>
  <c r="D7" i="22"/>
  <c r="C49" i="22"/>
  <c r="B49" i="22"/>
  <c r="C42" i="22"/>
  <c r="B42" i="22"/>
  <c r="D41" i="22"/>
  <c r="D40" i="22"/>
  <c r="C37" i="22"/>
  <c r="D31" i="22"/>
  <c r="D30" i="22"/>
  <c r="D29" i="22"/>
  <c r="C24" i="22"/>
  <c r="C53" i="22" s="1"/>
  <c r="B24" i="22"/>
  <c r="B53" i="22" s="1"/>
  <c r="D23" i="22"/>
  <c r="D22" i="22"/>
  <c r="D21" i="22"/>
  <c r="C18" i="22"/>
  <c r="B18" i="22"/>
  <c r="D17" i="22"/>
  <c r="D16" i="22"/>
  <c r="D15" i="22"/>
  <c r="D14" i="22"/>
  <c r="D9" i="22"/>
  <c r="D6" i="22"/>
  <c r="T42" i="6"/>
  <c r="S13" i="6"/>
  <c r="E41" i="14"/>
  <c r="W18" i="15"/>
  <c r="T18" i="15"/>
  <c r="Q18" i="15"/>
  <c r="M18" i="15"/>
  <c r="J18" i="15"/>
  <c r="G18" i="15"/>
  <c r="D18" i="15"/>
  <c r="J70" i="17"/>
  <c r="K70" i="17"/>
  <c r="K67" i="17"/>
  <c r="K60" i="17"/>
  <c r="J60" i="17"/>
  <c r="K51" i="17"/>
  <c r="J51" i="17"/>
  <c r="K41" i="17"/>
  <c r="J41" i="17"/>
  <c r="K20" i="17"/>
  <c r="J20" i="17"/>
  <c r="K13" i="17"/>
  <c r="J13" i="17"/>
  <c r="L9" i="17"/>
  <c r="L10" i="17"/>
  <c r="L11" i="17"/>
  <c r="L12" i="17"/>
  <c r="L16" i="17"/>
  <c r="L17" i="17"/>
  <c r="L18" i="17"/>
  <c r="L19" i="17"/>
  <c r="L23" i="17"/>
  <c r="L46" i="17"/>
  <c r="L47" i="17"/>
  <c r="L49" i="17"/>
  <c r="L50" i="17"/>
  <c r="L54" i="17"/>
  <c r="L55" i="17"/>
  <c r="L56" i="17"/>
  <c r="L57" i="17"/>
  <c r="L58" i="17"/>
  <c r="L59" i="17"/>
  <c r="L64" i="17"/>
  <c r="L65" i="17"/>
  <c r="L66" i="17"/>
  <c r="L8" i="17"/>
  <c r="D10" i="13"/>
  <c r="S42" i="25" l="1"/>
  <c r="P36" i="1"/>
  <c r="R36" i="1" s="1"/>
  <c r="G47" i="25"/>
  <c r="R47" i="25" s="1"/>
  <c r="G32" i="1"/>
  <c r="G43" i="25" s="1"/>
  <c r="R43" i="25" s="1"/>
  <c r="K43" i="17"/>
  <c r="K44" i="17" s="1"/>
  <c r="L67" i="17"/>
  <c r="J62" i="17"/>
  <c r="J69" i="17" s="1"/>
  <c r="D49" i="22"/>
  <c r="J43" i="17"/>
  <c r="L43" i="17" s="1"/>
  <c r="L70" i="17"/>
  <c r="L51" i="17"/>
  <c r="K62" i="17"/>
  <c r="K69" i="17" s="1"/>
  <c r="K71" i="17" s="1"/>
  <c r="D11" i="22"/>
  <c r="L41" i="17"/>
  <c r="D8" i="22"/>
  <c r="B37" i="22"/>
  <c r="D37" i="22" s="1"/>
  <c r="C26" i="22"/>
  <c r="C44" i="22"/>
  <c r="C51" i="22" s="1"/>
  <c r="C52" i="22" s="1"/>
  <c r="D42" i="22"/>
  <c r="D53" i="22"/>
  <c r="C27" i="22"/>
  <c r="D18" i="22"/>
  <c r="B26" i="22"/>
  <c r="D24" i="22"/>
  <c r="L60" i="17"/>
  <c r="L13" i="17"/>
  <c r="N18" i="15"/>
  <c r="Y18" i="15" s="1"/>
  <c r="AA18" i="6" s="1"/>
  <c r="L20" i="17"/>
  <c r="H38" i="4"/>
  <c r="H39" i="4"/>
  <c r="H40" i="4"/>
  <c r="H42" i="4"/>
  <c r="H46" i="4"/>
  <c r="H47" i="4"/>
  <c r="H48" i="4"/>
  <c r="H49" i="4"/>
  <c r="H50" i="4"/>
  <c r="H51" i="4"/>
  <c r="H52" i="4"/>
  <c r="H53" i="4"/>
  <c r="H54" i="4"/>
  <c r="H59" i="4"/>
  <c r="H63" i="4"/>
  <c r="H64" i="4"/>
  <c r="H37" i="4"/>
  <c r="H65" i="4" l="1"/>
  <c r="B44" i="22"/>
  <c r="D44" i="22" s="1"/>
  <c r="L62" i="17"/>
  <c r="J44" i="17"/>
  <c r="L44" i="17"/>
  <c r="B51" i="22"/>
  <c r="D26" i="22"/>
  <c r="D27" i="22" s="1"/>
  <c r="B27" i="22"/>
  <c r="L69" i="17"/>
  <c r="J71" i="17"/>
  <c r="L71" i="17" s="1"/>
  <c r="AG48" i="6"/>
  <c r="D51" i="22" l="1"/>
  <c r="B52" i="22"/>
  <c r="D52" i="22" s="1"/>
  <c r="G12" i="4"/>
  <c r="H12" i="4" s="1"/>
  <c r="D47" i="20"/>
  <c r="F55" i="4"/>
  <c r="F43" i="4"/>
  <c r="F32" i="4"/>
  <c r="F21" i="4"/>
  <c r="G18" i="4"/>
  <c r="H18" i="4" s="1"/>
  <c r="G19" i="4"/>
  <c r="H19" i="4" s="1"/>
  <c r="G20" i="4"/>
  <c r="H20" i="4" s="1"/>
  <c r="G29" i="4"/>
  <c r="H29" i="4" s="1"/>
  <c r="G30" i="4"/>
  <c r="H30" i="4" s="1"/>
  <c r="G31" i="4"/>
  <c r="H31" i="4" s="1"/>
  <c r="C48" i="1" s="1"/>
  <c r="C60" i="25" s="1"/>
  <c r="G37" i="4"/>
  <c r="G38" i="4"/>
  <c r="G39" i="4"/>
  <c r="G40" i="4"/>
  <c r="G42" i="4"/>
  <c r="G46" i="4"/>
  <c r="G47" i="4"/>
  <c r="G48" i="4"/>
  <c r="G49" i="4"/>
  <c r="G50" i="4"/>
  <c r="G51" i="4"/>
  <c r="G52" i="4"/>
  <c r="G53" i="4"/>
  <c r="G54" i="4"/>
  <c r="G59" i="4"/>
  <c r="G63" i="4"/>
  <c r="G64" i="4"/>
  <c r="G9" i="4"/>
  <c r="H9" i="4" s="1"/>
  <c r="G10" i="4"/>
  <c r="H10" i="4" s="1"/>
  <c r="G11" i="4"/>
  <c r="H11" i="4" s="1"/>
  <c r="G13" i="4"/>
  <c r="H13" i="4" s="1"/>
  <c r="C16" i="1" s="1"/>
  <c r="C21" i="25" s="1"/>
  <c r="D16" i="20"/>
  <c r="D17" i="20"/>
  <c r="C66" i="20"/>
  <c r="D64" i="20"/>
  <c r="D65" i="20"/>
  <c r="D63" i="20"/>
  <c r="C59" i="20"/>
  <c r="D54" i="20"/>
  <c r="D55" i="20"/>
  <c r="D56" i="20"/>
  <c r="D57" i="20"/>
  <c r="D58" i="20"/>
  <c r="D53" i="20"/>
  <c r="C50" i="20"/>
  <c r="D48" i="20"/>
  <c r="D49" i="20"/>
  <c r="D46" i="20"/>
  <c r="D23" i="20"/>
  <c r="C41" i="20"/>
  <c r="C70" i="20" s="1"/>
  <c r="D18" i="20"/>
  <c r="D19" i="20"/>
  <c r="C20" i="20"/>
  <c r="C13" i="20"/>
  <c r="D9" i="20"/>
  <c r="D10" i="20"/>
  <c r="D11" i="20"/>
  <c r="D12" i="20"/>
  <c r="D8" i="20"/>
  <c r="H8" i="20" s="1"/>
  <c r="G48" i="1" l="1"/>
  <c r="F34" i="4"/>
  <c r="C43" i="20"/>
  <c r="C61" i="20"/>
  <c r="C68" i="20" s="1"/>
  <c r="C69" i="20" s="1"/>
  <c r="G43" i="4"/>
  <c r="F69" i="4"/>
  <c r="D20" i="20"/>
  <c r="F14" i="4"/>
  <c r="F57" i="4"/>
  <c r="P48" i="1" l="1"/>
  <c r="R48" i="1" s="1"/>
  <c r="G60" i="25"/>
  <c r="R60" i="25" s="1"/>
  <c r="F35" i="4"/>
  <c r="F67" i="4"/>
  <c r="F68" i="4" s="1"/>
  <c r="AF64" i="3"/>
  <c r="AF73" i="3" s="1"/>
  <c r="B81" i="2" s="1"/>
  <c r="U48" i="6"/>
  <c r="U49" i="6"/>
  <c r="U50" i="6"/>
  <c r="U51" i="6"/>
  <c r="U47" i="6"/>
  <c r="D24" i="3"/>
  <c r="K64" i="3"/>
  <c r="A8" i="21"/>
  <c r="B8" i="21"/>
  <c r="C8" i="21"/>
  <c r="A15" i="21"/>
  <c r="B15" i="21"/>
  <c r="C15" i="21"/>
  <c r="A21" i="21"/>
  <c r="A49" i="21" s="1"/>
  <c r="B21" i="21"/>
  <c r="C21" i="21"/>
  <c r="A30" i="21"/>
  <c r="B30" i="21"/>
  <c r="C30" i="21"/>
  <c r="A38" i="21"/>
  <c r="B38" i="21"/>
  <c r="C38" i="21"/>
  <c r="A45" i="21"/>
  <c r="B45" i="21"/>
  <c r="C45" i="21"/>
  <c r="G64" i="3"/>
  <c r="G73" i="3" s="1"/>
  <c r="AC7" i="3"/>
  <c r="AC8" i="3"/>
  <c r="D9" i="3"/>
  <c r="R9" i="3"/>
  <c r="AC9" i="3"/>
  <c r="D10" i="3"/>
  <c r="R10" i="3"/>
  <c r="AC10" i="3"/>
  <c r="D11" i="3"/>
  <c r="AC11" i="3"/>
  <c r="D12" i="3"/>
  <c r="R12" i="3"/>
  <c r="AC12" i="3"/>
  <c r="D13" i="3"/>
  <c r="R13" i="3"/>
  <c r="AC13" i="3"/>
  <c r="D14" i="3"/>
  <c r="R14" i="3"/>
  <c r="AC14" i="3"/>
  <c r="D15" i="3"/>
  <c r="R15" i="3"/>
  <c r="AC15" i="3"/>
  <c r="D16" i="3"/>
  <c r="R16" i="3"/>
  <c r="AC16" i="3"/>
  <c r="D17" i="3"/>
  <c r="R17" i="3"/>
  <c r="AC17" i="3"/>
  <c r="D18" i="3"/>
  <c r="R18" i="3"/>
  <c r="AC18" i="3"/>
  <c r="D19" i="3"/>
  <c r="R19" i="3"/>
  <c r="AC19" i="3"/>
  <c r="D20" i="3"/>
  <c r="R20" i="3"/>
  <c r="AC20" i="3"/>
  <c r="D21" i="3"/>
  <c r="R21" i="3"/>
  <c r="AC21" i="3"/>
  <c r="AC22" i="3"/>
  <c r="D23" i="3"/>
  <c r="AC23" i="3"/>
  <c r="AC24" i="3"/>
  <c r="D25" i="3"/>
  <c r="R25" i="3"/>
  <c r="AC25" i="3"/>
  <c r="AC26" i="3"/>
  <c r="D27" i="3"/>
  <c r="R27" i="3"/>
  <c r="AC27" i="3"/>
  <c r="D28" i="3"/>
  <c r="R28" i="3"/>
  <c r="AC28" i="3"/>
  <c r="D29" i="3"/>
  <c r="R29" i="3"/>
  <c r="AC29" i="3"/>
  <c r="D30" i="3"/>
  <c r="AC30" i="3"/>
  <c r="AC31" i="3"/>
  <c r="D32" i="3"/>
  <c r="R32" i="3"/>
  <c r="AC32" i="3"/>
  <c r="D33" i="3"/>
  <c r="R33" i="3"/>
  <c r="AC33" i="3"/>
  <c r="D34" i="3"/>
  <c r="R34" i="3"/>
  <c r="AC34" i="3"/>
  <c r="D35" i="3"/>
  <c r="R35" i="3"/>
  <c r="AC35" i="3"/>
  <c r="D36" i="3"/>
  <c r="R36" i="3"/>
  <c r="AC36" i="3"/>
  <c r="AC37" i="3"/>
  <c r="D38" i="3"/>
  <c r="AC38" i="3"/>
  <c r="D39" i="3"/>
  <c r="AC39" i="3"/>
  <c r="D40" i="3"/>
  <c r="R40" i="3"/>
  <c r="AC40" i="3"/>
  <c r="D41" i="3"/>
  <c r="R41" i="3"/>
  <c r="AC41" i="3"/>
  <c r="D42" i="3"/>
  <c r="R42" i="3"/>
  <c r="AC42" i="3"/>
  <c r="AC43" i="3"/>
  <c r="D44" i="3"/>
  <c r="R44" i="3"/>
  <c r="AC44" i="3"/>
  <c r="D45" i="3"/>
  <c r="R45" i="3"/>
  <c r="AC45" i="3"/>
  <c r="D46" i="3"/>
  <c r="R46" i="3"/>
  <c r="AC46" i="3"/>
  <c r="AC47" i="3"/>
  <c r="D48" i="3"/>
  <c r="R48" i="3"/>
  <c r="AC48" i="3"/>
  <c r="D49" i="3"/>
  <c r="R49" i="3"/>
  <c r="AC49" i="3"/>
  <c r="AC50" i="3"/>
  <c r="D51" i="3"/>
  <c r="R51" i="3"/>
  <c r="AC51" i="3"/>
  <c r="D52" i="3"/>
  <c r="R52" i="3"/>
  <c r="AC52" i="3"/>
  <c r="D53" i="3"/>
  <c r="R53" i="3"/>
  <c r="AC53" i="3"/>
  <c r="D54" i="3"/>
  <c r="AC54" i="3"/>
  <c r="D55" i="3"/>
  <c r="R55" i="3"/>
  <c r="AC55" i="3"/>
  <c r="AC56" i="3"/>
  <c r="D57" i="3"/>
  <c r="R57" i="3"/>
  <c r="AC57" i="3"/>
  <c r="D58" i="3"/>
  <c r="R58" i="3"/>
  <c r="AC58" i="3"/>
  <c r="D59" i="3"/>
  <c r="R59" i="3"/>
  <c r="AC59" i="3"/>
  <c r="D61" i="3"/>
  <c r="R61" i="3"/>
  <c r="AC61" i="3"/>
  <c r="D62" i="3"/>
  <c r="R62" i="3"/>
  <c r="AC62" i="3"/>
  <c r="D63" i="3"/>
  <c r="R63" i="3"/>
  <c r="AC63" i="3"/>
  <c r="C64" i="3"/>
  <c r="C73" i="3" s="1"/>
  <c r="E64" i="3"/>
  <c r="F64" i="3"/>
  <c r="F73" i="3" s="1"/>
  <c r="H64" i="3"/>
  <c r="I64" i="3"/>
  <c r="J64" i="3"/>
  <c r="L64" i="3"/>
  <c r="N64" i="3"/>
  <c r="N73" i="3" s="1"/>
  <c r="B60" i="2" s="1"/>
  <c r="B63" i="1" s="1"/>
  <c r="B76" i="25" s="1"/>
  <c r="O64" i="3"/>
  <c r="T64" i="3"/>
  <c r="U64" i="3"/>
  <c r="V64" i="3"/>
  <c r="W64" i="3"/>
  <c r="X64" i="3"/>
  <c r="Y64" i="3"/>
  <c r="Z64" i="3"/>
  <c r="AA64" i="3"/>
  <c r="AB64" i="3"/>
  <c r="AG64" i="3"/>
  <c r="AH8" i="6"/>
  <c r="G9" i="20"/>
  <c r="H9" i="20" s="1"/>
  <c r="AH9" i="6" s="1"/>
  <c r="G10" i="20"/>
  <c r="H10" i="20" s="1"/>
  <c r="AH10" i="6" s="1"/>
  <c r="G11" i="20"/>
  <c r="H11" i="20" s="1"/>
  <c r="AH11" i="6" s="1"/>
  <c r="G12" i="20"/>
  <c r="H12" i="20" s="1"/>
  <c r="AH12" i="6" s="1"/>
  <c r="B13" i="20"/>
  <c r="D13" i="20" s="1"/>
  <c r="E13" i="20"/>
  <c r="F13" i="20"/>
  <c r="G16" i="20"/>
  <c r="G17" i="20"/>
  <c r="H17" i="20" s="1"/>
  <c r="AH17" i="6" s="1"/>
  <c r="G18" i="20"/>
  <c r="G19" i="20"/>
  <c r="B20" i="20"/>
  <c r="E20" i="20"/>
  <c r="F20" i="20"/>
  <c r="G23" i="20"/>
  <c r="H23" i="20" s="1"/>
  <c r="AH41" i="6"/>
  <c r="B41" i="20"/>
  <c r="D41" i="20" s="1"/>
  <c r="E41" i="20"/>
  <c r="F41" i="20"/>
  <c r="G46" i="20"/>
  <c r="H46" i="20" s="1"/>
  <c r="AH47" i="6" s="1"/>
  <c r="G47" i="20"/>
  <c r="H47" i="20" s="1"/>
  <c r="AH48" i="6" s="1"/>
  <c r="G48" i="20"/>
  <c r="H48" i="20" s="1"/>
  <c r="G49" i="20"/>
  <c r="B50" i="20"/>
  <c r="E50" i="20"/>
  <c r="F50" i="20"/>
  <c r="G53" i="20"/>
  <c r="G54" i="20"/>
  <c r="H54" i="20" s="1"/>
  <c r="AH56" i="6" s="1"/>
  <c r="G55" i="20"/>
  <c r="G56" i="20"/>
  <c r="H56" i="20" s="1"/>
  <c r="AH58" i="6" s="1"/>
  <c r="G57" i="20"/>
  <c r="H57" i="20" s="1"/>
  <c r="AH59" i="6" s="1"/>
  <c r="G58" i="20"/>
  <c r="H58" i="20" s="1"/>
  <c r="AH60" i="6" s="1"/>
  <c r="B59" i="20"/>
  <c r="D59" i="20" s="1"/>
  <c r="E59" i="20"/>
  <c r="F59" i="20"/>
  <c r="G63" i="20"/>
  <c r="H63" i="20" s="1"/>
  <c r="AH65" i="6" s="1"/>
  <c r="G64" i="20"/>
  <c r="H64" i="20" s="1"/>
  <c r="AH66" i="6" s="1"/>
  <c r="G65" i="20"/>
  <c r="H65" i="20" s="1"/>
  <c r="AH67" i="6" s="1"/>
  <c r="B66" i="20"/>
  <c r="D66" i="20" s="1"/>
  <c r="E66" i="20"/>
  <c r="F66" i="20"/>
  <c r="E8" i="19"/>
  <c r="AB8" i="6" s="1"/>
  <c r="E9" i="19"/>
  <c r="AB9" i="6" s="1"/>
  <c r="E10" i="19"/>
  <c r="AB10" i="6" s="1"/>
  <c r="E11" i="19"/>
  <c r="AB11" i="6" s="1"/>
  <c r="E12" i="19"/>
  <c r="AB12" i="6" s="1"/>
  <c r="B13" i="19"/>
  <c r="C13" i="19"/>
  <c r="D13" i="19"/>
  <c r="E16" i="19"/>
  <c r="AB16" i="6" s="1"/>
  <c r="E17" i="19"/>
  <c r="AB17" i="6" s="1"/>
  <c r="E18" i="19"/>
  <c r="AB18" i="6" s="1"/>
  <c r="E19" i="19"/>
  <c r="AB20" i="6" s="1"/>
  <c r="B20" i="19"/>
  <c r="C20" i="19"/>
  <c r="D20" i="19"/>
  <c r="E23" i="19"/>
  <c r="B41" i="19"/>
  <c r="C41" i="19"/>
  <c r="C70" i="19" s="1"/>
  <c r="D41" i="19"/>
  <c r="E46" i="19"/>
  <c r="AB47" i="6" s="1"/>
  <c r="E47" i="19"/>
  <c r="AB48" i="6" s="1"/>
  <c r="E48" i="19"/>
  <c r="AB50" i="6" s="1"/>
  <c r="E49" i="19"/>
  <c r="AB51" i="6" s="1"/>
  <c r="B50" i="19"/>
  <c r="C50" i="19"/>
  <c r="D50" i="19"/>
  <c r="E53" i="19"/>
  <c r="AB55" i="6" s="1"/>
  <c r="E54" i="19"/>
  <c r="AB56" i="6" s="1"/>
  <c r="E55" i="19"/>
  <c r="AB57" i="6" s="1"/>
  <c r="E56" i="19"/>
  <c r="AB58" i="6" s="1"/>
  <c r="E57" i="19"/>
  <c r="AB59" i="6" s="1"/>
  <c r="E58" i="19"/>
  <c r="AB60" i="6" s="1"/>
  <c r="B59" i="19"/>
  <c r="C59" i="19"/>
  <c r="D59" i="19"/>
  <c r="E63" i="19"/>
  <c r="AB65" i="6" s="1"/>
  <c r="E64" i="19"/>
  <c r="AB66" i="6" s="1"/>
  <c r="E65" i="19"/>
  <c r="AB67" i="6" s="1"/>
  <c r="B66" i="19"/>
  <c r="C66" i="19"/>
  <c r="D66" i="19"/>
  <c r="D8" i="18"/>
  <c r="H8" i="18" s="1"/>
  <c r="D9" i="18"/>
  <c r="G9" i="18"/>
  <c r="D10" i="18"/>
  <c r="G10" i="18"/>
  <c r="D11" i="18"/>
  <c r="G11" i="18"/>
  <c r="D12" i="18"/>
  <c r="G12" i="18"/>
  <c r="B13" i="18"/>
  <c r="C13" i="18"/>
  <c r="E13" i="18"/>
  <c r="F13" i="18"/>
  <c r="D16" i="18"/>
  <c r="G16" i="18"/>
  <c r="D17" i="18"/>
  <c r="G17" i="18"/>
  <c r="D18" i="18"/>
  <c r="G18" i="18"/>
  <c r="D19" i="18"/>
  <c r="G19" i="18"/>
  <c r="B20" i="18"/>
  <c r="C20" i="18"/>
  <c r="E20" i="18"/>
  <c r="F20" i="18"/>
  <c r="D23" i="18"/>
  <c r="G23" i="18"/>
  <c r="D40" i="18"/>
  <c r="G40" i="18"/>
  <c r="B41" i="18"/>
  <c r="B71" i="18" s="1"/>
  <c r="E41" i="18"/>
  <c r="E71" i="18" s="1"/>
  <c r="F41" i="18"/>
  <c r="D46" i="18"/>
  <c r="G46" i="18"/>
  <c r="D47" i="18"/>
  <c r="G47" i="18"/>
  <c r="D49" i="18"/>
  <c r="G49" i="18"/>
  <c r="D50" i="18"/>
  <c r="G50" i="18"/>
  <c r="B51" i="18"/>
  <c r="C51" i="18"/>
  <c r="E51" i="18"/>
  <c r="F51" i="18"/>
  <c r="D54" i="18"/>
  <c r="G54" i="18"/>
  <c r="D55" i="18"/>
  <c r="G55" i="18"/>
  <c r="D56" i="18"/>
  <c r="G56" i="18"/>
  <c r="D57" i="18"/>
  <c r="G57" i="18"/>
  <c r="D58" i="18"/>
  <c r="G58" i="18"/>
  <c r="D59" i="18"/>
  <c r="G59" i="18"/>
  <c r="B60" i="18"/>
  <c r="C60" i="18"/>
  <c r="E60" i="18"/>
  <c r="F60" i="18"/>
  <c r="D64" i="18"/>
  <c r="G64" i="18"/>
  <c r="D65" i="18"/>
  <c r="G65" i="18"/>
  <c r="D66" i="18"/>
  <c r="G66" i="18"/>
  <c r="B67" i="18"/>
  <c r="C67" i="18"/>
  <c r="E67" i="18"/>
  <c r="F67" i="18"/>
  <c r="F8" i="17"/>
  <c r="O8" i="17"/>
  <c r="R8" i="17"/>
  <c r="U8" i="17"/>
  <c r="X8" i="17"/>
  <c r="F9" i="17"/>
  <c r="I9" i="17"/>
  <c r="O9" i="17"/>
  <c r="R9" i="17"/>
  <c r="U9" i="17"/>
  <c r="X9" i="17"/>
  <c r="F10" i="17"/>
  <c r="I10" i="17"/>
  <c r="O10" i="17"/>
  <c r="R10" i="17"/>
  <c r="U10" i="17"/>
  <c r="X10" i="17"/>
  <c r="F11" i="17"/>
  <c r="I11" i="17"/>
  <c r="O11" i="17"/>
  <c r="R11" i="17"/>
  <c r="U11" i="17"/>
  <c r="X11" i="17"/>
  <c r="F12" i="17"/>
  <c r="I12" i="17"/>
  <c r="O12" i="17"/>
  <c r="R12" i="17"/>
  <c r="U12" i="17"/>
  <c r="X12" i="17"/>
  <c r="D13" i="17"/>
  <c r="E13" i="17"/>
  <c r="G13" i="17"/>
  <c r="H13" i="17"/>
  <c r="M13" i="17"/>
  <c r="N13" i="17"/>
  <c r="P13" i="17"/>
  <c r="Q13" i="17"/>
  <c r="S13" i="17"/>
  <c r="T13" i="17"/>
  <c r="V13" i="17"/>
  <c r="W13" i="17"/>
  <c r="F16" i="17"/>
  <c r="I16" i="17"/>
  <c r="O16" i="17"/>
  <c r="R16" i="17"/>
  <c r="U16" i="17"/>
  <c r="X16" i="17"/>
  <c r="F17" i="17"/>
  <c r="I17" i="17"/>
  <c r="O17" i="17"/>
  <c r="R17" i="17"/>
  <c r="U17" i="17"/>
  <c r="X17" i="17"/>
  <c r="F18" i="17"/>
  <c r="I18" i="17"/>
  <c r="O18" i="17"/>
  <c r="R18" i="17"/>
  <c r="U18" i="17"/>
  <c r="X18" i="17"/>
  <c r="F19" i="17"/>
  <c r="I19" i="17"/>
  <c r="O19" i="17"/>
  <c r="R19" i="17"/>
  <c r="U19" i="17"/>
  <c r="X19" i="17"/>
  <c r="D20" i="17"/>
  <c r="E20" i="17"/>
  <c r="G20" i="17"/>
  <c r="H20" i="17"/>
  <c r="M20" i="17"/>
  <c r="N20" i="17"/>
  <c r="P20" i="17"/>
  <c r="Q20" i="17"/>
  <c r="S20" i="17"/>
  <c r="T20" i="17"/>
  <c r="V20" i="17"/>
  <c r="W20" i="17"/>
  <c r="F23" i="17"/>
  <c r="I23" i="17"/>
  <c r="O23" i="17"/>
  <c r="R23" i="17"/>
  <c r="U23" i="17"/>
  <c r="X23" i="17"/>
  <c r="U40" i="17"/>
  <c r="X40" i="17"/>
  <c r="D41" i="17"/>
  <c r="E41" i="17"/>
  <c r="E71" i="17" s="1"/>
  <c r="G41" i="17"/>
  <c r="G71" i="17" s="1"/>
  <c r="H41" i="17"/>
  <c r="H71" i="17" s="1"/>
  <c r="M41" i="17"/>
  <c r="M71" i="17" s="1"/>
  <c r="N41" i="17"/>
  <c r="N71" i="17" s="1"/>
  <c r="P41" i="17"/>
  <c r="P71" i="17" s="1"/>
  <c r="Q41" i="17"/>
  <c r="S41" i="17"/>
  <c r="T41" i="17"/>
  <c r="T71" i="17" s="1"/>
  <c r="V41" i="17"/>
  <c r="W41" i="17"/>
  <c r="W71" i="17" s="1"/>
  <c r="F46" i="17"/>
  <c r="I46" i="17"/>
  <c r="O46" i="17"/>
  <c r="R46" i="17"/>
  <c r="U46" i="17"/>
  <c r="X46" i="17"/>
  <c r="F47" i="17"/>
  <c r="I47" i="17"/>
  <c r="O47" i="17"/>
  <c r="R47" i="17"/>
  <c r="U47" i="17"/>
  <c r="X47" i="17"/>
  <c r="F49" i="17"/>
  <c r="I49" i="17"/>
  <c r="O49" i="17"/>
  <c r="R49" i="17"/>
  <c r="U49" i="17"/>
  <c r="X49" i="17"/>
  <c r="F50" i="17"/>
  <c r="I50" i="17"/>
  <c r="O50" i="17"/>
  <c r="R50" i="17"/>
  <c r="U50" i="17"/>
  <c r="X50" i="17"/>
  <c r="D51" i="17"/>
  <c r="E51" i="17"/>
  <c r="G51" i="17"/>
  <c r="H51" i="17"/>
  <c r="M51" i="17"/>
  <c r="N51" i="17"/>
  <c r="P51" i="17"/>
  <c r="Q51" i="17"/>
  <c r="S51" i="17"/>
  <c r="T51" i="17"/>
  <c r="V51" i="17"/>
  <c r="W51" i="17"/>
  <c r="F54" i="17"/>
  <c r="I54" i="17"/>
  <c r="O54" i="17"/>
  <c r="R54" i="17"/>
  <c r="U54" i="17"/>
  <c r="X54" i="17"/>
  <c r="F55" i="17"/>
  <c r="I55" i="17"/>
  <c r="O55" i="17"/>
  <c r="R55" i="17"/>
  <c r="U55" i="17"/>
  <c r="X55" i="17"/>
  <c r="F56" i="17"/>
  <c r="I56" i="17"/>
  <c r="O56" i="17"/>
  <c r="R56" i="17"/>
  <c r="U56" i="17"/>
  <c r="X56" i="17"/>
  <c r="F57" i="17"/>
  <c r="I57" i="17"/>
  <c r="O57" i="17"/>
  <c r="R57" i="17"/>
  <c r="U57" i="17"/>
  <c r="X57" i="17"/>
  <c r="F58" i="17"/>
  <c r="I58" i="17"/>
  <c r="O58" i="17"/>
  <c r="R58" i="17"/>
  <c r="U58" i="17"/>
  <c r="X58" i="17"/>
  <c r="F59" i="17"/>
  <c r="I59" i="17"/>
  <c r="O59" i="17"/>
  <c r="R59" i="17"/>
  <c r="U59" i="17"/>
  <c r="X59" i="17"/>
  <c r="D60" i="17"/>
  <c r="E60" i="17"/>
  <c r="G60" i="17"/>
  <c r="H60" i="17"/>
  <c r="M60" i="17"/>
  <c r="N60" i="17"/>
  <c r="P60" i="17"/>
  <c r="Q60" i="17"/>
  <c r="S60" i="17"/>
  <c r="T60" i="17"/>
  <c r="V60" i="17"/>
  <c r="W60" i="17"/>
  <c r="F64" i="17"/>
  <c r="I64" i="17"/>
  <c r="O64" i="17"/>
  <c r="R64" i="17"/>
  <c r="U64" i="17"/>
  <c r="X64" i="17"/>
  <c r="F65" i="17"/>
  <c r="I65" i="17"/>
  <c r="O65" i="17"/>
  <c r="R65" i="17"/>
  <c r="U65" i="17"/>
  <c r="X65" i="17"/>
  <c r="F66" i="17"/>
  <c r="I66" i="17"/>
  <c r="O66" i="17"/>
  <c r="R66" i="17"/>
  <c r="U66" i="17"/>
  <c r="X66" i="17"/>
  <c r="D67" i="17"/>
  <c r="E67" i="17"/>
  <c r="G67" i="17"/>
  <c r="H67" i="17"/>
  <c r="M67" i="17"/>
  <c r="N67" i="17"/>
  <c r="P67" i="17"/>
  <c r="Q67" i="17"/>
  <c r="S67" i="17"/>
  <c r="T67" i="17"/>
  <c r="V67" i="17"/>
  <c r="W67" i="17"/>
  <c r="D8" i="16"/>
  <c r="H8" i="16" s="1"/>
  <c r="D9" i="16"/>
  <c r="G9" i="16"/>
  <c r="D10" i="16"/>
  <c r="G10" i="16"/>
  <c r="D11" i="16"/>
  <c r="G11" i="16"/>
  <c r="D12" i="16"/>
  <c r="G12" i="16"/>
  <c r="B13" i="16"/>
  <c r="C13" i="16"/>
  <c r="E13" i="16"/>
  <c r="F13" i="16"/>
  <c r="D16" i="16"/>
  <c r="G16" i="16"/>
  <c r="D17" i="16"/>
  <c r="G17" i="16"/>
  <c r="D18" i="16"/>
  <c r="G18" i="16"/>
  <c r="D19" i="16"/>
  <c r="G19" i="16"/>
  <c r="B20" i="16"/>
  <c r="C20" i="16"/>
  <c r="E20" i="16"/>
  <c r="F20" i="16"/>
  <c r="H22" i="16"/>
  <c r="D23" i="16"/>
  <c r="G23" i="16"/>
  <c r="D24" i="16"/>
  <c r="G24" i="16"/>
  <c r="D25" i="16"/>
  <c r="G25" i="16"/>
  <c r="B26" i="16"/>
  <c r="B55" i="16" s="1"/>
  <c r="C26" i="16"/>
  <c r="C55" i="16" s="1"/>
  <c r="E26" i="16"/>
  <c r="E55" i="16" s="1"/>
  <c r="F26" i="16"/>
  <c r="F55" i="16" s="1"/>
  <c r="D31" i="16"/>
  <c r="G31" i="16"/>
  <c r="D32" i="16"/>
  <c r="G32" i="16"/>
  <c r="D33" i="16"/>
  <c r="G33" i="16"/>
  <c r="D34" i="16"/>
  <c r="G34" i="16"/>
  <c r="B35" i="16"/>
  <c r="C35" i="16"/>
  <c r="E35" i="16"/>
  <c r="F35" i="16"/>
  <c r="D38" i="16"/>
  <c r="G38" i="16"/>
  <c r="D39" i="16"/>
  <c r="G39" i="16"/>
  <c r="D40" i="16"/>
  <c r="G40" i="16"/>
  <c r="D41" i="16"/>
  <c r="G41" i="16"/>
  <c r="D42" i="16"/>
  <c r="G42" i="16"/>
  <c r="D43" i="16"/>
  <c r="G43" i="16"/>
  <c r="B44" i="16"/>
  <c r="C44" i="16"/>
  <c r="E44" i="16"/>
  <c r="F44" i="16"/>
  <c r="D48" i="16"/>
  <c r="G48" i="16"/>
  <c r="D49" i="16"/>
  <c r="G49" i="16"/>
  <c r="D50" i="16"/>
  <c r="G50" i="16"/>
  <c r="B51" i="16"/>
  <c r="C51" i="16"/>
  <c r="E51" i="16"/>
  <c r="F51" i="16"/>
  <c r="D8" i="15"/>
  <c r="J8" i="15"/>
  <c r="M8" i="15"/>
  <c r="Q8" i="15"/>
  <c r="T8" i="15"/>
  <c r="W8" i="15"/>
  <c r="D9" i="15"/>
  <c r="G9" i="15"/>
  <c r="J9" i="15"/>
  <c r="M9" i="15"/>
  <c r="Q9" i="15"/>
  <c r="T9" i="15"/>
  <c r="W9" i="15"/>
  <c r="D10" i="15"/>
  <c r="G10" i="15"/>
  <c r="J10" i="15"/>
  <c r="M10" i="15"/>
  <c r="Q10" i="15"/>
  <c r="T10" i="15"/>
  <c r="W10" i="15"/>
  <c r="D11" i="15"/>
  <c r="G11" i="15"/>
  <c r="J11" i="15"/>
  <c r="M11" i="15"/>
  <c r="Q11" i="15"/>
  <c r="T11" i="15"/>
  <c r="W11" i="15"/>
  <c r="D12" i="15"/>
  <c r="G12" i="15"/>
  <c r="J12" i="15"/>
  <c r="M12" i="15"/>
  <c r="Q12" i="15"/>
  <c r="T12" i="15"/>
  <c r="W12" i="15"/>
  <c r="B13" i="15"/>
  <c r="C13" i="15"/>
  <c r="E13" i="15"/>
  <c r="F13" i="15"/>
  <c r="H13" i="15"/>
  <c r="I13" i="15"/>
  <c r="K13" i="15"/>
  <c r="L13" i="15"/>
  <c r="O13" i="15"/>
  <c r="P13" i="15"/>
  <c r="R13" i="15"/>
  <c r="S13" i="15"/>
  <c r="U13" i="15"/>
  <c r="V13" i="15"/>
  <c r="X13" i="15"/>
  <c r="D16" i="15"/>
  <c r="G16" i="15"/>
  <c r="J16" i="15"/>
  <c r="M16" i="15"/>
  <c r="Q16" i="15"/>
  <c r="T16" i="15"/>
  <c r="W16" i="15"/>
  <c r="D17" i="15"/>
  <c r="G17" i="15"/>
  <c r="J17" i="15"/>
  <c r="M17" i="15"/>
  <c r="Q17" i="15"/>
  <c r="T17" i="15"/>
  <c r="W17" i="15"/>
  <c r="D19" i="15"/>
  <c r="G19" i="15"/>
  <c r="J19" i="15"/>
  <c r="M19" i="15"/>
  <c r="Q19" i="15"/>
  <c r="T19" i="15"/>
  <c r="W19" i="15"/>
  <c r="D20" i="15"/>
  <c r="G20" i="15"/>
  <c r="J20" i="15"/>
  <c r="M20" i="15"/>
  <c r="Q20" i="15"/>
  <c r="T20" i="15"/>
  <c r="W20" i="15"/>
  <c r="B21" i="15"/>
  <c r="C21" i="15"/>
  <c r="E21" i="15"/>
  <c r="F21" i="15"/>
  <c r="H21" i="15"/>
  <c r="I21" i="15"/>
  <c r="K21" i="15"/>
  <c r="L21" i="15"/>
  <c r="O21" i="15"/>
  <c r="P21" i="15"/>
  <c r="R21" i="15"/>
  <c r="S21" i="15"/>
  <c r="U21" i="15"/>
  <c r="V21" i="15"/>
  <c r="X21" i="15"/>
  <c r="D24" i="15"/>
  <c r="G24" i="15"/>
  <c r="J24" i="15"/>
  <c r="M24" i="15"/>
  <c r="Q24" i="15"/>
  <c r="T24" i="15"/>
  <c r="W24" i="15"/>
  <c r="N36" i="15"/>
  <c r="D41" i="15"/>
  <c r="G41" i="15"/>
  <c r="B42" i="15"/>
  <c r="C42" i="15"/>
  <c r="C72" i="15" s="1"/>
  <c r="E42" i="15"/>
  <c r="F42" i="15"/>
  <c r="H42" i="15"/>
  <c r="I42" i="15"/>
  <c r="I72" i="15" s="1"/>
  <c r="K42" i="15"/>
  <c r="L42" i="15"/>
  <c r="L72" i="15" s="1"/>
  <c r="O42" i="15"/>
  <c r="P42" i="15"/>
  <c r="P72" i="15" s="1"/>
  <c r="R42" i="15"/>
  <c r="S42" i="15"/>
  <c r="U42" i="15"/>
  <c r="V42" i="15"/>
  <c r="X42" i="15"/>
  <c r="X72" i="15" s="1"/>
  <c r="Y43" i="15"/>
  <c r="D47" i="15"/>
  <c r="G47" i="15"/>
  <c r="J47" i="15"/>
  <c r="M47" i="15"/>
  <c r="Q47" i="15"/>
  <c r="T47" i="15"/>
  <c r="W47" i="15"/>
  <c r="D48" i="15"/>
  <c r="G48" i="15"/>
  <c r="J48" i="15"/>
  <c r="M48" i="15"/>
  <c r="Q48" i="15"/>
  <c r="T48" i="15"/>
  <c r="W48" i="15"/>
  <c r="D50" i="15"/>
  <c r="G50" i="15"/>
  <c r="J50" i="15"/>
  <c r="M50" i="15"/>
  <c r="Q50" i="15"/>
  <c r="T50" i="15"/>
  <c r="W50" i="15"/>
  <c r="D51" i="15"/>
  <c r="G51" i="15"/>
  <c r="J51" i="15"/>
  <c r="M51" i="15"/>
  <c r="Q51" i="15"/>
  <c r="T51" i="15"/>
  <c r="W51" i="15"/>
  <c r="B52" i="15"/>
  <c r="C52" i="15"/>
  <c r="E52" i="15"/>
  <c r="F52" i="15"/>
  <c r="H52" i="15"/>
  <c r="I52" i="15"/>
  <c r="K52" i="15"/>
  <c r="L52" i="15"/>
  <c r="O52" i="15"/>
  <c r="P52" i="15"/>
  <c r="R52" i="15"/>
  <c r="S52" i="15"/>
  <c r="U52" i="15"/>
  <c r="V52" i="15"/>
  <c r="X52" i="15"/>
  <c r="D55" i="15"/>
  <c r="G55" i="15"/>
  <c r="J55" i="15"/>
  <c r="M55" i="15"/>
  <c r="Q55" i="15"/>
  <c r="T55" i="15"/>
  <c r="W55" i="15"/>
  <c r="D56" i="15"/>
  <c r="G56" i="15"/>
  <c r="J56" i="15"/>
  <c r="M56" i="15"/>
  <c r="Q56" i="15"/>
  <c r="T56" i="15"/>
  <c r="W56" i="15"/>
  <c r="D57" i="15"/>
  <c r="G57" i="15"/>
  <c r="J57" i="15"/>
  <c r="M57" i="15"/>
  <c r="Q57" i="15"/>
  <c r="T57" i="15"/>
  <c r="W57" i="15"/>
  <c r="D58" i="15"/>
  <c r="G58" i="15"/>
  <c r="J58" i="15"/>
  <c r="M58" i="15"/>
  <c r="Q58" i="15"/>
  <c r="T58" i="15"/>
  <c r="W58" i="15"/>
  <c r="D59" i="15"/>
  <c r="G59" i="15"/>
  <c r="J59" i="15"/>
  <c r="M59" i="15"/>
  <c r="Q59" i="15"/>
  <c r="T59" i="15"/>
  <c r="W59" i="15"/>
  <c r="D60" i="15"/>
  <c r="G60" i="15"/>
  <c r="J60" i="15"/>
  <c r="M60" i="15"/>
  <c r="Q60" i="15"/>
  <c r="T60" i="15"/>
  <c r="W60" i="15"/>
  <c r="B61" i="15"/>
  <c r="C61" i="15"/>
  <c r="E61" i="15"/>
  <c r="F61" i="15"/>
  <c r="H61" i="15"/>
  <c r="I61" i="15"/>
  <c r="K61" i="15"/>
  <c r="L61" i="15"/>
  <c r="O61" i="15"/>
  <c r="P61" i="15"/>
  <c r="R61" i="15"/>
  <c r="S61" i="15"/>
  <c r="U61" i="15"/>
  <c r="V61" i="15"/>
  <c r="X61" i="15"/>
  <c r="D65" i="15"/>
  <c r="G65" i="15"/>
  <c r="J65" i="15"/>
  <c r="M65" i="15"/>
  <c r="Q65" i="15"/>
  <c r="T65" i="15"/>
  <c r="W65" i="15"/>
  <c r="D66" i="15"/>
  <c r="G66" i="15"/>
  <c r="J66" i="15"/>
  <c r="M66" i="15"/>
  <c r="Q66" i="15"/>
  <c r="T66" i="15"/>
  <c r="W66" i="15"/>
  <c r="D67" i="15"/>
  <c r="G67" i="15"/>
  <c r="J67" i="15"/>
  <c r="M67" i="15"/>
  <c r="Q67" i="15"/>
  <c r="T67" i="15"/>
  <c r="W67" i="15"/>
  <c r="B68" i="15"/>
  <c r="C68" i="15"/>
  <c r="E68" i="15"/>
  <c r="F68" i="15"/>
  <c r="H68" i="15"/>
  <c r="I68" i="15"/>
  <c r="K68" i="15"/>
  <c r="L68" i="15"/>
  <c r="O68" i="15"/>
  <c r="P68" i="15"/>
  <c r="R68" i="15"/>
  <c r="S68" i="15"/>
  <c r="U68" i="15"/>
  <c r="V68" i="15"/>
  <c r="X68" i="15"/>
  <c r="X70" i="15" s="1"/>
  <c r="D8" i="14"/>
  <c r="D9" i="14"/>
  <c r="G9" i="14"/>
  <c r="D10" i="14"/>
  <c r="G10" i="14"/>
  <c r="D11" i="14"/>
  <c r="G11" i="14"/>
  <c r="D12" i="14"/>
  <c r="G12" i="14"/>
  <c r="C13" i="14"/>
  <c r="E13" i="14"/>
  <c r="F13" i="14"/>
  <c r="H13" i="14"/>
  <c r="D14" i="14"/>
  <c r="G14" i="14"/>
  <c r="D15" i="14"/>
  <c r="G15" i="14"/>
  <c r="D16" i="14"/>
  <c r="G16" i="14"/>
  <c r="D17" i="14"/>
  <c r="G17" i="14"/>
  <c r="D18" i="14"/>
  <c r="G18" i="14"/>
  <c r="D19" i="14"/>
  <c r="G19" i="14"/>
  <c r="B20" i="14"/>
  <c r="C20" i="14"/>
  <c r="E20" i="14"/>
  <c r="F20" i="14"/>
  <c r="H20" i="14"/>
  <c r="D21" i="14"/>
  <c r="G21" i="14"/>
  <c r="D22" i="14"/>
  <c r="G22" i="14"/>
  <c r="D23" i="14"/>
  <c r="G23" i="14"/>
  <c r="D40" i="14"/>
  <c r="G40" i="14"/>
  <c r="B41" i="14"/>
  <c r="B70" i="14" s="1"/>
  <c r="C41" i="14"/>
  <c r="F41" i="14"/>
  <c r="F70" i="14" s="1"/>
  <c r="H41" i="14"/>
  <c r="D42" i="14"/>
  <c r="G42" i="14"/>
  <c r="D44" i="14"/>
  <c r="G44" i="14"/>
  <c r="D45" i="14"/>
  <c r="G45" i="14"/>
  <c r="D46" i="14"/>
  <c r="G46" i="14"/>
  <c r="D47" i="14"/>
  <c r="G47" i="14"/>
  <c r="D48" i="14"/>
  <c r="G48" i="14"/>
  <c r="D49" i="14"/>
  <c r="G49" i="14"/>
  <c r="B50" i="14"/>
  <c r="C50" i="14"/>
  <c r="E50" i="14"/>
  <c r="F50" i="14"/>
  <c r="H50" i="14"/>
  <c r="D51" i="14"/>
  <c r="G51" i="14"/>
  <c r="D52" i="14"/>
  <c r="G52" i="14"/>
  <c r="D53" i="14"/>
  <c r="G53" i="14"/>
  <c r="D54" i="14"/>
  <c r="G54" i="14"/>
  <c r="D55" i="14"/>
  <c r="G55" i="14"/>
  <c r="D56" i="14"/>
  <c r="G56" i="14"/>
  <c r="D57" i="14"/>
  <c r="G57" i="14"/>
  <c r="D58" i="14"/>
  <c r="G58" i="14"/>
  <c r="B59" i="14"/>
  <c r="C59" i="14"/>
  <c r="E59" i="14"/>
  <c r="F59" i="14"/>
  <c r="H59" i="14"/>
  <c r="D60" i="14"/>
  <c r="G60" i="14"/>
  <c r="D63" i="14"/>
  <c r="G63" i="14"/>
  <c r="D64" i="14"/>
  <c r="G64" i="14"/>
  <c r="D65" i="14"/>
  <c r="G65" i="14"/>
  <c r="B66" i="14"/>
  <c r="C66" i="14"/>
  <c r="E66" i="14"/>
  <c r="F66" i="14"/>
  <c r="H66" i="14"/>
  <c r="D67" i="14"/>
  <c r="G67" i="14"/>
  <c r="K8" i="6"/>
  <c r="Q8" i="6"/>
  <c r="U8" i="6"/>
  <c r="X8" i="6"/>
  <c r="AG8" i="6"/>
  <c r="K9" i="6"/>
  <c r="Q9" i="6"/>
  <c r="U9" i="6"/>
  <c r="X9" i="6"/>
  <c r="AG9" i="6"/>
  <c r="K10" i="6"/>
  <c r="Q10" i="6"/>
  <c r="U10" i="6"/>
  <c r="X10" i="6"/>
  <c r="AG10" i="6"/>
  <c r="K11" i="6"/>
  <c r="Q11" i="6"/>
  <c r="U11" i="6"/>
  <c r="X11" i="6"/>
  <c r="AG11" i="6"/>
  <c r="K12" i="6"/>
  <c r="Q12" i="6"/>
  <c r="U12" i="6"/>
  <c r="X12" i="6"/>
  <c r="AG12" i="6"/>
  <c r="B13" i="6"/>
  <c r="C13" i="6"/>
  <c r="E13" i="6"/>
  <c r="F13" i="6"/>
  <c r="I13" i="6"/>
  <c r="J13" i="6"/>
  <c r="L13" i="6"/>
  <c r="M13" i="6"/>
  <c r="N13" i="6"/>
  <c r="O13" i="6"/>
  <c r="P13" i="6"/>
  <c r="T13" i="6"/>
  <c r="V13" i="6"/>
  <c r="W13" i="6"/>
  <c r="AD13" i="6"/>
  <c r="AE13" i="6"/>
  <c r="AF13" i="6"/>
  <c r="K14" i="6"/>
  <c r="Q14" i="6"/>
  <c r="K15" i="6"/>
  <c r="Q15" i="6"/>
  <c r="K16" i="6"/>
  <c r="Q16" i="6"/>
  <c r="U16" i="6"/>
  <c r="X16" i="6"/>
  <c r="AG16" i="6"/>
  <c r="K17" i="6"/>
  <c r="Q17" i="6"/>
  <c r="U17" i="6"/>
  <c r="X17" i="6"/>
  <c r="AG17" i="6"/>
  <c r="K18" i="6"/>
  <c r="Q18" i="6"/>
  <c r="U18" i="6"/>
  <c r="X18" i="6"/>
  <c r="AG18" i="6"/>
  <c r="K19" i="6"/>
  <c r="Q19" i="6"/>
  <c r="U19" i="6"/>
  <c r="X19" i="6"/>
  <c r="AG19" i="6"/>
  <c r="K20" i="6"/>
  <c r="Q20" i="6"/>
  <c r="U20" i="6"/>
  <c r="X20" i="6"/>
  <c r="AG20" i="6"/>
  <c r="C21" i="6"/>
  <c r="E21" i="6"/>
  <c r="F21" i="6"/>
  <c r="I21" i="6"/>
  <c r="J21" i="6"/>
  <c r="L21" i="6"/>
  <c r="M21" i="6"/>
  <c r="N21" i="6"/>
  <c r="O21" i="6"/>
  <c r="P21" i="6"/>
  <c r="S21" i="6"/>
  <c r="T21" i="6"/>
  <c r="V21" i="6"/>
  <c r="W21" i="6"/>
  <c r="AD21" i="6"/>
  <c r="AE21" i="6"/>
  <c r="AF21" i="6"/>
  <c r="K22" i="6"/>
  <c r="Q22" i="6"/>
  <c r="K23" i="6"/>
  <c r="Q23" i="6"/>
  <c r="K24" i="6"/>
  <c r="Q24" i="6"/>
  <c r="U36" i="6"/>
  <c r="X36" i="6"/>
  <c r="U41" i="6"/>
  <c r="AG41" i="6"/>
  <c r="B42" i="6"/>
  <c r="B72" i="6" s="1"/>
  <c r="C42" i="6"/>
  <c r="C72" i="6" s="1"/>
  <c r="E42" i="6"/>
  <c r="E72" i="6" s="1"/>
  <c r="F42" i="6"/>
  <c r="I42" i="6"/>
  <c r="I72" i="6" s="1"/>
  <c r="J42" i="6"/>
  <c r="J72" i="6" s="1"/>
  <c r="L42" i="6"/>
  <c r="M42" i="6"/>
  <c r="M72" i="6" s="1"/>
  <c r="N42" i="6"/>
  <c r="N72" i="6" s="1"/>
  <c r="O42" i="6"/>
  <c r="P42" i="6"/>
  <c r="S42" i="6"/>
  <c r="S72" i="6" s="1"/>
  <c r="T72" i="6"/>
  <c r="V42" i="6"/>
  <c r="V72" i="6" s="1"/>
  <c r="W42" i="6"/>
  <c r="W72" i="6" s="1"/>
  <c r="AD42" i="6"/>
  <c r="AD72" i="6" s="1"/>
  <c r="AE42" i="6"/>
  <c r="AE72" i="6" s="1"/>
  <c r="AF42" i="6"/>
  <c r="AF72" i="6" s="1"/>
  <c r="K43" i="6"/>
  <c r="Q43" i="6"/>
  <c r="G45" i="6"/>
  <c r="H45" i="6"/>
  <c r="AC45" i="6"/>
  <c r="K46" i="6"/>
  <c r="Q46" i="6"/>
  <c r="K47" i="6"/>
  <c r="Q47" i="6"/>
  <c r="X47" i="6"/>
  <c r="AG47" i="6"/>
  <c r="K48" i="6"/>
  <c r="Q48" i="6"/>
  <c r="X48" i="6"/>
  <c r="K49" i="6"/>
  <c r="K50" i="6"/>
  <c r="Q50" i="6"/>
  <c r="X50" i="6"/>
  <c r="AG50" i="6"/>
  <c r="K51" i="6"/>
  <c r="Q51" i="6"/>
  <c r="X51" i="6"/>
  <c r="AG51" i="6"/>
  <c r="B52" i="6"/>
  <c r="C52" i="6"/>
  <c r="E52" i="6"/>
  <c r="F52" i="6"/>
  <c r="I52" i="6"/>
  <c r="J52" i="6"/>
  <c r="L52" i="6"/>
  <c r="M52" i="6"/>
  <c r="N52" i="6"/>
  <c r="O52" i="6"/>
  <c r="P52" i="6"/>
  <c r="S52" i="6"/>
  <c r="T52" i="6"/>
  <c r="V52" i="6"/>
  <c r="W52" i="6"/>
  <c r="AD52" i="6"/>
  <c r="AE52" i="6"/>
  <c r="AF52" i="6"/>
  <c r="K53" i="6"/>
  <c r="K54" i="6"/>
  <c r="K55" i="6"/>
  <c r="Q55" i="6"/>
  <c r="U55" i="6"/>
  <c r="X55" i="6"/>
  <c r="AG55" i="6"/>
  <c r="K56" i="6"/>
  <c r="Q56" i="6"/>
  <c r="U56" i="6"/>
  <c r="X56" i="6"/>
  <c r="AG56" i="6"/>
  <c r="K57" i="6"/>
  <c r="Q57" i="6"/>
  <c r="U57" i="6"/>
  <c r="X57" i="6"/>
  <c r="AG57" i="6"/>
  <c r="K58" i="6"/>
  <c r="Q58" i="6"/>
  <c r="U58" i="6"/>
  <c r="X58" i="6"/>
  <c r="AG58" i="6"/>
  <c r="K59" i="6"/>
  <c r="Q59" i="6"/>
  <c r="U59" i="6"/>
  <c r="X59" i="6"/>
  <c r="AG59" i="6"/>
  <c r="K60" i="6"/>
  <c r="Q60" i="6"/>
  <c r="U60" i="6"/>
  <c r="X60" i="6"/>
  <c r="AG60" i="6"/>
  <c r="B61" i="6"/>
  <c r="C61" i="6"/>
  <c r="E61" i="6"/>
  <c r="F61" i="6"/>
  <c r="I61" i="6"/>
  <c r="J61" i="6"/>
  <c r="L61" i="6"/>
  <c r="M61" i="6"/>
  <c r="N61" i="6"/>
  <c r="O61" i="6"/>
  <c r="P61" i="6"/>
  <c r="S61" i="6"/>
  <c r="T61" i="6"/>
  <c r="V61" i="6"/>
  <c r="W61" i="6"/>
  <c r="AD61" i="6"/>
  <c r="AE61" i="6"/>
  <c r="AF61" i="6"/>
  <c r="K62" i="6"/>
  <c r="Q62" i="6"/>
  <c r="K64" i="6"/>
  <c r="Q64" i="6"/>
  <c r="K65" i="6"/>
  <c r="Q65" i="6"/>
  <c r="U65" i="6"/>
  <c r="X65" i="6"/>
  <c r="AG65" i="6"/>
  <c r="K66" i="6"/>
  <c r="Q66" i="6"/>
  <c r="U66" i="6"/>
  <c r="X66" i="6"/>
  <c r="AG66" i="6"/>
  <c r="K67" i="6"/>
  <c r="Q67" i="6"/>
  <c r="U67" i="6"/>
  <c r="X67" i="6"/>
  <c r="AG67" i="6"/>
  <c r="B68" i="6"/>
  <c r="C68" i="6"/>
  <c r="E68" i="6"/>
  <c r="F68" i="6"/>
  <c r="I68" i="6"/>
  <c r="J68" i="6"/>
  <c r="L68" i="6"/>
  <c r="M68" i="6"/>
  <c r="N68" i="6"/>
  <c r="O68" i="6"/>
  <c r="P68" i="6"/>
  <c r="S68" i="6"/>
  <c r="T68" i="6"/>
  <c r="V68" i="6"/>
  <c r="W68" i="6"/>
  <c r="AD68" i="6"/>
  <c r="AE68" i="6"/>
  <c r="D8" i="13"/>
  <c r="J8" i="13"/>
  <c r="M8" i="13"/>
  <c r="D9" i="13"/>
  <c r="G9" i="13"/>
  <c r="J9" i="13"/>
  <c r="M9" i="13"/>
  <c r="G10" i="13"/>
  <c r="J10" i="13"/>
  <c r="M10" i="13"/>
  <c r="D11" i="13"/>
  <c r="G11" i="13"/>
  <c r="J11" i="13"/>
  <c r="M11" i="13"/>
  <c r="D12" i="13"/>
  <c r="G12" i="13"/>
  <c r="J12" i="13"/>
  <c r="M12" i="13"/>
  <c r="D13" i="13"/>
  <c r="G13" i="13"/>
  <c r="J13" i="13"/>
  <c r="M13" i="13"/>
  <c r="B14" i="13"/>
  <c r="C14" i="13"/>
  <c r="E14" i="13"/>
  <c r="F14" i="13"/>
  <c r="H14" i="13"/>
  <c r="I14" i="13"/>
  <c r="L14" i="13"/>
  <c r="D17" i="13"/>
  <c r="G17" i="13"/>
  <c r="J17" i="13"/>
  <c r="M17" i="13"/>
  <c r="D18" i="13"/>
  <c r="G18" i="13"/>
  <c r="J18" i="13"/>
  <c r="M18" i="13"/>
  <c r="D19" i="13"/>
  <c r="G19" i="13"/>
  <c r="J19" i="13"/>
  <c r="M19" i="13"/>
  <c r="D20" i="13"/>
  <c r="G20" i="13"/>
  <c r="J20" i="13"/>
  <c r="M20" i="13"/>
  <c r="D21" i="13"/>
  <c r="G21" i="13"/>
  <c r="J21" i="13"/>
  <c r="M21" i="13"/>
  <c r="B22" i="13"/>
  <c r="C22" i="13"/>
  <c r="E22" i="13"/>
  <c r="F22" i="13"/>
  <c r="H22" i="13"/>
  <c r="I22" i="13"/>
  <c r="K22" i="13"/>
  <c r="L22" i="13"/>
  <c r="D25" i="13"/>
  <c r="G25" i="13"/>
  <c r="J25" i="13"/>
  <c r="M25" i="13"/>
  <c r="D26" i="13"/>
  <c r="G26" i="13"/>
  <c r="J26" i="13"/>
  <c r="M26" i="13"/>
  <c r="D27" i="13"/>
  <c r="G27" i="13"/>
  <c r="J27" i="13"/>
  <c r="M27" i="13"/>
  <c r="B28" i="13"/>
  <c r="B58" i="13" s="1"/>
  <c r="C28" i="13"/>
  <c r="C58" i="13" s="1"/>
  <c r="E28" i="13"/>
  <c r="E58" i="13" s="1"/>
  <c r="F28" i="13"/>
  <c r="F58" i="13" s="1"/>
  <c r="H28" i="13"/>
  <c r="H58" i="13" s="1"/>
  <c r="I28" i="13"/>
  <c r="I58" i="13" s="1"/>
  <c r="K28" i="13"/>
  <c r="K58" i="13" s="1"/>
  <c r="L28" i="13"/>
  <c r="L58" i="13" s="1"/>
  <c r="N32" i="13"/>
  <c r="D33" i="13"/>
  <c r="G33" i="13"/>
  <c r="J33" i="13"/>
  <c r="M33" i="13"/>
  <c r="D34" i="13"/>
  <c r="G34" i="13"/>
  <c r="J34" i="13"/>
  <c r="M34" i="13"/>
  <c r="D36" i="13"/>
  <c r="G36" i="13"/>
  <c r="J36" i="13"/>
  <c r="M36" i="13"/>
  <c r="D37" i="13"/>
  <c r="G37" i="13"/>
  <c r="J37" i="13"/>
  <c r="M37" i="13"/>
  <c r="B38" i="13"/>
  <c r="C38" i="13"/>
  <c r="E38" i="13"/>
  <c r="F38" i="13"/>
  <c r="H38" i="13"/>
  <c r="I38" i="13"/>
  <c r="K38" i="13"/>
  <c r="L38" i="13"/>
  <c r="N39" i="13"/>
  <c r="N40" i="13"/>
  <c r="D41" i="13"/>
  <c r="G41" i="13"/>
  <c r="J41" i="13"/>
  <c r="M41" i="13"/>
  <c r="D42" i="13"/>
  <c r="G42" i="13"/>
  <c r="J42" i="13"/>
  <c r="M42" i="13"/>
  <c r="D43" i="13"/>
  <c r="G43" i="13"/>
  <c r="J43" i="13"/>
  <c r="M43" i="13"/>
  <c r="D44" i="13"/>
  <c r="G44" i="13"/>
  <c r="J44" i="13"/>
  <c r="M44" i="13"/>
  <c r="D45" i="13"/>
  <c r="G45" i="13"/>
  <c r="J45" i="13"/>
  <c r="M45" i="13"/>
  <c r="D46" i="13"/>
  <c r="G46" i="13"/>
  <c r="J46" i="13"/>
  <c r="M46" i="13"/>
  <c r="B47" i="13"/>
  <c r="C47" i="13"/>
  <c r="E47" i="13"/>
  <c r="F47" i="13"/>
  <c r="H47" i="13"/>
  <c r="I47" i="13"/>
  <c r="K47" i="13"/>
  <c r="L47" i="13"/>
  <c r="N48" i="13"/>
  <c r="D51" i="13"/>
  <c r="G51" i="13"/>
  <c r="J51" i="13"/>
  <c r="M51" i="13"/>
  <c r="D52" i="13"/>
  <c r="G52" i="13"/>
  <c r="J52" i="13"/>
  <c r="M52" i="13"/>
  <c r="D53" i="13"/>
  <c r="G53" i="13"/>
  <c r="J53" i="13"/>
  <c r="M53" i="13"/>
  <c r="B54" i="13"/>
  <c r="C54" i="13"/>
  <c r="E54" i="13"/>
  <c r="F54" i="13"/>
  <c r="H54" i="13"/>
  <c r="I54" i="13"/>
  <c r="K54" i="13"/>
  <c r="L54" i="13"/>
  <c r="N55" i="13"/>
  <c r="K8" i="12"/>
  <c r="G9" i="12"/>
  <c r="G10" i="12"/>
  <c r="G11" i="12"/>
  <c r="G12" i="12"/>
  <c r="G13" i="12"/>
  <c r="B14" i="12"/>
  <c r="C14" i="12"/>
  <c r="E14" i="12"/>
  <c r="F14" i="12"/>
  <c r="G17" i="12"/>
  <c r="G18" i="12"/>
  <c r="G19" i="12"/>
  <c r="G20" i="12"/>
  <c r="G21" i="12"/>
  <c r="B22" i="12"/>
  <c r="C22" i="12"/>
  <c r="E22" i="12"/>
  <c r="F22" i="12"/>
  <c r="G25" i="12"/>
  <c r="G26" i="12"/>
  <c r="G27" i="12"/>
  <c r="B28" i="12"/>
  <c r="C28" i="12"/>
  <c r="C58" i="12" s="1"/>
  <c r="E28" i="12"/>
  <c r="E58" i="12" s="1"/>
  <c r="F28" i="12"/>
  <c r="D33" i="12"/>
  <c r="G33" i="12"/>
  <c r="D34" i="12"/>
  <c r="G34" i="12"/>
  <c r="D36" i="12"/>
  <c r="G36" i="12"/>
  <c r="D37" i="12"/>
  <c r="G37" i="12"/>
  <c r="B38" i="12"/>
  <c r="C38" i="12"/>
  <c r="E38" i="12"/>
  <c r="F38" i="12"/>
  <c r="D41" i="12"/>
  <c r="G41" i="12"/>
  <c r="D42" i="12"/>
  <c r="G42" i="12"/>
  <c r="D43" i="12"/>
  <c r="G43" i="12"/>
  <c r="D44" i="12"/>
  <c r="G44" i="12"/>
  <c r="D45" i="12"/>
  <c r="G45" i="12"/>
  <c r="D46" i="12"/>
  <c r="G46" i="12"/>
  <c r="B47" i="12"/>
  <c r="C47" i="12"/>
  <c r="E47" i="12"/>
  <c r="F47" i="12"/>
  <c r="D51" i="12"/>
  <c r="G51" i="12"/>
  <c r="D52" i="12"/>
  <c r="G52" i="12"/>
  <c r="D53" i="12"/>
  <c r="G53" i="12"/>
  <c r="B54" i="12"/>
  <c r="C54" i="12"/>
  <c r="E54" i="12"/>
  <c r="F54" i="12"/>
  <c r="D8" i="11"/>
  <c r="H8" i="5" s="1"/>
  <c r="D9" i="11"/>
  <c r="H9" i="5" s="1"/>
  <c r="D10" i="11"/>
  <c r="H10" i="5" s="1"/>
  <c r="D11" i="11"/>
  <c r="H11" i="5" s="1"/>
  <c r="D12" i="11"/>
  <c r="H12" i="5" s="1"/>
  <c r="D13" i="11"/>
  <c r="H13" i="5" s="1"/>
  <c r="B14" i="11"/>
  <c r="C14" i="11"/>
  <c r="D17" i="11"/>
  <c r="H17" i="5" s="1"/>
  <c r="D18" i="11"/>
  <c r="H18" i="5" s="1"/>
  <c r="D19" i="11"/>
  <c r="H19" i="5" s="1"/>
  <c r="D20" i="11"/>
  <c r="H20" i="5" s="1"/>
  <c r="D21" i="11"/>
  <c r="H21" i="5" s="1"/>
  <c r="B22" i="11"/>
  <c r="C22" i="11"/>
  <c r="D25" i="11"/>
  <c r="H25" i="5" s="1"/>
  <c r="D26" i="11"/>
  <c r="H26" i="5" s="1"/>
  <c r="D27" i="11"/>
  <c r="H27" i="5" s="1"/>
  <c r="B28" i="11"/>
  <c r="B58" i="11" s="1"/>
  <c r="C28" i="11"/>
  <c r="C58" i="11" s="1"/>
  <c r="D33" i="11"/>
  <c r="H33" i="5" s="1"/>
  <c r="D34" i="11"/>
  <c r="H34" i="5" s="1"/>
  <c r="D36" i="11"/>
  <c r="H36" i="5" s="1"/>
  <c r="D37" i="11"/>
  <c r="H37" i="5" s="1"/>
  <c r="B38" i="11"/>
  <c r="C38" i="11"/>
  <c r="D41" i="11"/>
  <c r="H41" i="5" s="1"/>
  <c r="D42" i="11"/>
  <c r="H42" i="5" s="1"/>
  <c r="D43" i="11"/>
  <c r="H43" i="5" s="1"/>
  <c r="D44" i="11"/>
  <c r="H44" i="5" s="1"/>
  <c r="D45" i="11"/>
  <c r="H45" i="5" s="1"/>
  <c r="D46" i="11"/>
  <c r="H46" i="5" s="1"/>
  <c r="B47" i="11"/>
  <c r="C47" i="11"/>
  <c r="C49" i="11" s="1"/>
  <c r="D51" i="11"/>
  <c r="H51" i="5" s="1"/>
  <c r="D52" i="11"/>
  <c r="H52" i="5" s="1"/>
  <c r="D53" i="11"/>
  <c r="H53" i="5" s="1"/>
  <c r="B54" i="11"/>
  <c r="C54" i="11"/>
  <c r="D8" i="10"/>
  <c r="F8" i="10" s="1"/>
  <c r="B8" i="5" s="1"/>
  <c r="D9" i="10"/>
  <c r="F9" i="10" s="1"/>
  <c r="B9" i="5" s="1"/>
  <c r="D10" i="10"/>
  <c r="F10" i="10" s="1"/>
  <c r="B10" i="5" s="1"/>
  <c r="D11" i="10"/>
  <c r="F11" i="10" s="1"/>
  <c r="B11" i="5" s="1"/>
  <c r="D12" i="10"/>
  <c r="F12" i="10" s="1"/>
  <c r="B12" i="5" s="1"/>
  <c r="D13" i="10"/>
  <c r="F13" i="10" s="1"/>
  <c r="B13" i="5" s="1"/>
  <c r="B14" i="10"/>
  <c r="C14" i="10"/>
  <c r="E14" i="10"/>
  <c r="D17" i="10"/>
  <c r="F17" i="10" s="1"/>
  <c r="B17" i="5" s="1"/>
  <c r="D18" i="10"/>
  <c r="F18" i="10" s="1"/>
  <c r="B18" i="5" s="1"/>
  <c r="D19" i="10"/>
  <c r="F19" i="10" s="1"/>
  <c r="B19" i="5" s="1"/>
  <c r="D20" i="10"/>
  <c r="F20" i="10" s="1"/>
  <c r="B20" i="5" s="1"/>
  <c r="D21" i="10"/>
  <c r="F21" i="10" s="1"/>
  <c r="B21" i="5" s="1"/>
  <c r="B22" i="10"/>
  <c r="C22" i="10"/>
  <c r="E22" i="10"/>
  <c r="D25" i="10"/>
  <c r="D26" i="10"/>
  <c r="F26" i="10" s="1"/>
  <c r="B26" i="5" s="1"/>
  <c r="D27" i="10"/>
  <c r="F27" i="10" s="1"/>
  <c r="B27" i="5" s="1"/>
  <c r="B28" i="10"/>
  <c r="B58" i="10" s="1"/>
  <c r="C28" i="10"/>
  <c r="E28" i="10"/>
  <c r="D33" i="10"/>
  <c r="F33" i="10" s="1"/>
  <c r="B33" i="5" s="1"/>
  <c r="D34" i="10"/>
  <c r="F34" i="10" s="1"/>
  <c r="B34" i="5" s="1"/>
  <c r="D36" i="10"/>
  <c r="F36" i="10" s="1"/>
  <c r="B36" i="5" s="1"/>
  <c r="D37" i="10"/>
  <c r="F37" i="10" s="1"/>
  <c r="B37" i="5" s="1"/>
  <c r="B38" i="10"/>
  <c r="C38" i="10"/>
  <c r="E38" i="10"/>
  <c r="D41" i="10"/>
  <c r="F41" i="10" s="1"/>
  <c r="B41" i="5" s="1"/>
  <c r="D42" i="10"/>
  <c r="F42" i="10" s="1"/>
  <c r="B42" i="5" s="1"/>
  <c r="D43" i="10"/>
  <c r="F43" i="10" s="1"/>
  <c r="B43" i="5" s="1"/>
  <c r="D44" i="10"/>
  <c r="F44" i="10" s="1"/>
  <c r="B44" i="5" s="1"/>
  <c r="D45" i="10"/>
  <c r="F45" i="10" s="1"/>
  <c r="B45" i="5" s="1"/>
  <c r="D46" i="10"/>
  <c r="F46" i="10" s="1"/>
  <c r="B46" i="5" s="1"/>
  <c r="B47" i="10"/>
  <c r="C47" i="10"/>
  <c r="E47" i="10"/>
  <c r="D51" i="10"/>
  <c r="F51" i="10" s="1"/>
  <c r="B51" i="5" s="1"/>
  <c r="D52" i="10"/>
  <c r="F52" i="10" s="1"/>
  <c r="B52" i="5" s="1"/>
  <c r="D53" i="10"/>
  <c r="F53" i="10" s="1"/>
  <c r="B53" i="5" s="1"/>
  <c r="E54" i="10"/>
  <c r="D8" i="9"/>
  <c r="D9" i="9"/>
  <c r="H9" i="9"/>
  <c r="D10" i="9"/>
  <c r="H10" i="9"/>
  <c r="D11" i="9"/>
  <c r="H11" i="9"/>
  <c r="D12" i="9"/>
  <c r="H12" i="9"/>
  <c r="D13" i="9"/>
  <c r="H13" i="9"/>
  <c r="B14" i="9"/>
  <c r="C14" i="9"/>
  <c r="E14" i="9"/>
  <c r="F14" i="9"/>
  <c r="G14" i="9"/>
  <c r="D17" i="9"/>
  <c r="H17" i="9"/>
  <c r="D18" i="9"/>
  <c r="H18" i="9"/>
  <c r="D19" i="9"/>
  <c r="H19" i="9"/>
  <c r="D20" i="9"/>
  <c r="H20" i="9"/>
  <c r="D21" i="9"/>
  <c r="H21" i="9"/>
  <c r="B22" i="9"/>
  <c r="C22" i="9"/>
  <c r="E22" i="9"/>
  <c r="F22" i="9"/>
  <c r="G22" i="9"/>
  <c r="D25" i="9"/>
  <c r="H25" i="9"/>
  <c r="D26" i="9"/>
  <c r="H26" i="9"/>
  <c r="D27" i="9"/>
  <c r="H27" i="9"/>
  <c r="B28" i="9"/>
  <c r="B58" i="9" s="1"/>
  <c r="C28" i="9"/>
  <c r="C58" i="9" s="1"/>
  <c r="E28" i="9"/>
  <c r="E58" i="9" s="1"/>
  <c r="F28" i="9"/>
  <c r="F58" i="9" s="1"/>
  <c r="G28" i="9"/>
  <c r="G58" i="9" s="1"/>
  <c r="D33" i="9"/>
  <c r="H33" i="9"/>
  <c r="D34" i="9"/>
  <c r="H34" i="9"/>
  <c r="D36" i="9"/>
  <c r="H36" i="9"/>
  <c r="D37" i="9"/>
  <c r="H37" i="9"/>
  <c r="B38" i="9"/>
  <c r="C38" i="9"/>
  <c r="E38" i="9"/>
  <c r="F38" i="9"/>
  <c r="G38" i="9"/>
  <c r="D41" i="9"/>
  <c r="D42" i="9"/>
  <c r="H42" i="9"/>
  <c r="I44" i="9"/>
  <c r="E44" i="5" s="1"/>
  <c r="D45" i="9"/>
  <c r="H45" i="9"/>
  <c r="I46" i="9"/>
  <c r="E46" i="5" s="1"/>
  <c r="B47" i="9"/>
  <c r="C47" i="9"/>
  <c r="E47" i="9"/>
  <c r="F47" i="9"/>
  <c r="G47" i="9"/>
  <c r="G49" i="9" s="1"/>
  <c r="D51" i="9"/>
  <c r="H51" i="9"/>
  <c r="D52" i="9"/>
  <c r="H52" i="9"/>
  <c r="D53" i="9"/>
  <c r="H53" i="9"/>
  <c r="B54" i="9"/>
  <c r="C54" i="9"/>
  <c r="E54" i="9"/>
  <c r="F54" i="9"/>
  <c r="G54" i="9"/>
  <c r="D8" i="7"/>
  <c r="J8" i="7"/>
  <c r="N8" i="7"/>
  <c r="Q8" i="7"/>
  <c r="D9" i="7"/>
  <c r="J9" i="7"/>
  <c r="N9" i="7"/>
  <c r="Q9" i="7"/>
  <c r="D10" i="7"/>
  <c r="J10" i="7"/>
  <c r="N10" i="7"/>
  <c r="Q10" i="7"/>
  <c r="D11" i="7"/>
  <c r="J11" i="7"/>
  <c r="N11" i="7"/>
  <c r="Q11" i="7"/>
  <c r="D12" i="7"/>
  <c r="J12" i="7"/>
  <c r="N12" i="7"/>
  <c r="Q12" i="7"/>
  <c r="D13" i="7"/>
  <c r="J13" i="7"/>
  <c r="N13" i="7"/>
  <c r="Q13" i="7"/>
  <c r="B14" i="7"/>
  <c r="C14" i="7"/>
  <c r="H14" i="7"/>
  <c r="I14" i="7"/>
  <c r="K14" i="7"/>
  <c r="L14" i="7"/>
  <c r="M14" i="7"/>
  <c r="O14" i="7"/>
  <c r="P14" i="7"/>
  <c r="D17" i="7"/>
  <c r="J17" i="7"/>
  <c r="N17" i="7"/>
  <c r="Q17" i="7"/>
  <c r="D18" i="7"/>
  <c r="J18" i="7"/>
  <c r="N18" i="7"/>
  <c r="Q18" i="7"/>
  <c r="D19" i="7"/>
  <c r="J19" i="7"/>
  <c r="N19" i="7"/>
  <c r="Q19" i="7"/>
  <c r="D20" i="7"/>
  <c r="J20" i="7"/>
  <c r="N20" i="7"/>
  <c r="Q20" i="7"/>
  <c r="D21" i="7"/>
  <c r="J21" i="7"/>
  <c r="N21" i="7"/>
  <c r="Q21" i="7"/>
  <c r="B22" i="7"/>
  <c r="C22" i="7"/>
  <c r="H22" i="7"/>
  <c r="I22" i="7"/>
  <c r="K22" i="7"/>
  <c r="L22" i="7"/>
  <c r="M22" i="7"/>
  <c r="O22" i="7"/>
  <c r="P22" i="7"/>
  <c r="D25" i="7"/>
  <c r="J25" i="7"/>
  <c r="N25" i="7"/>
  <c r="Q25" i="7"/>
  <c r="D26" i="7"/>
  <c r="J26" i="7"/>
  <c r="N26" i="7"/>
  <c r="Q26" i="7"/>
  <c r="D27" i="7"/>
  <c r="J27" i="7"/>
  <c r="Q27" i="7"/>
  <c r="B28" i="7"/>
  <c r="C28" i="7"/>
  <c r="C58" i="7" s="1"/>
  <c r="H28" i="7"/>
  <c r="I28" i="7"/>
  <c r="I58" i="7" s="1"/>
  <c r="K28" i="7"/>
  <c r="L28" i="7"/>
  <c r="O28" i="7"/>
  <c r="O58" i="7" s="1"/>
  <c r="P28" i="7"/>
  <c r="D33" i="7"/>
  <c r="J33" i="7"/>
  <c r="N33" i="7"/>
  <c r="Q33" i="7"/>
  <c r="D34" i="7"/>
  <c r="J34" i="7"/>
  <c r="N34" i="7"/>
  <c r="Q34" i="7"/>
  <c r="D36" i="7"/>
  <c r="J36" i="7"/>
  <c r="N36" i="7"/>
  <c r="Q36" i="7"/>
  <c r="D37" i="7"/>
  <c r="J37" i="7"/>
  <c r="N37" i="7"/>
  <c r="Q37" i="7"/>
  <c r="B38" i="7"/>
  <c r="C38" i="7"/>
  <c r="H38" i="7"/>
  <c r="I38" i="7"/>
  <c r="K38" i="7"/>
  <c r="L38" i="7"/>
  <c r="M38" i="7"/>
  <c r="O38" i="7"/>
  <c r="P38" i="7"/>
  <c r="D41" i="5"/>
  <c r="D42" i="7"/>
  <c r="J42" i="7"/>
  <c r="N42" i="7"/>
  <c r="Q42" i="7"/>
  <c r="D43" i="7"/>
  <c r="J43" i="7"/>
  <c r="N43" i="7"/>
  <c r="Q43" i="7"/>
  <c r="D44" i="7"/>
  <c r="J44" i="7"/>
  <c r="N44" i="7"/>
  <c r="Q44" i="7"/>
  <c r="D45" i="7"/>
  <c r="J45" i="7"/>
  <c r="N45" i="7"/>
  <c r="Q45" i="7"/>
  <c r="D46" i="7"/>
  <c r="J46" i="7"/>
  <c r="N46" i="7"/>
  <c r="Q46" i="7"/>
  <c r="B47" i="7"/>
  <c r="C47" i="7"/>
  <c r="H47" i="7"/>
  <c r="I47" i="7"/>
  <c r="K47" i="7"/>
  <c r="L47" i="7"/>
  <c r="M47" i="7"/>
  <c r="O47" i="7"/>
  <c r="P47" i="7"/>
  <c r="D51" i="7"/>
  <c r="J51" i="7"/>
  <c r="N51" i="7"/>
  <c r="Q51" i="7"/>
  <c r="D52" i="7"/>
  <c r="J52" i="7"/>
  <c r="N52" i="7"/>
  <c r="Q52" i="7"/>
  <c r="D53" i="7"/>
  <c r="J53" i="7"/>
  <c r="N53" i="7"/>
  <c r="Q53" i="7"/>
  <c r="B54" i="7"/>
  <c r="C54" i="7"/>
  <c r="H54" i="7"/>
  <c r="I54" i="7"/>
  <c r="K54" i="7"/>
  <c r="L54" i="7"/>
  <c r="M54" i="7"/>
  <c r="O54" i="7"/>
  <c r="P54" i="7"/>
  <c r="F8" i="8"/>
  <c r="C8" i="5" s="1"/>
  <c r="F10" i="8"/>
  <c r="C10" i="5" s="1"/>
  <c r="F11" i="8"/>
  <c r="C11" i="5" s="1"/>
  <c r="F12" i="8"/>
  <c r="C12" i="5" s="1"/>
  <c r="F13" i="8"/>
  <c r="C13" i="5" s="1"/>
  <c r="B14" i="8"/>
  <c r="C14" i="8"/>
  <c r="E14" i="8"/>
  <c r="F18" i="8"/>
  <c r="C18" i="5" s="1"/>
  <c r="F19" i="8"/>
  <c r="C19" i="5" s="1"/>
  <c r="F20" i="8"/>
  <c r="C20" i="5" s="1"/>
  <c r="F21" i="8"/>
  <c r="C21" i="5" s="1"/>
  <c r="B22" i="8"/>
  <c r="D22" i="8" s="1"/>
  <c r="C22" i="8"/>
  <c r="E22" i="8"/>
  <c r="F25" i="8"/>
  <c r="C25" i="5" s="1"/>
  <c r="F27" i="8"/>
  <c r="C27" i="5" s="1"/>
  <c r="B28" i="8"/>
  <c r="C28" i="8"/>
  <c r="E28" i="8"/>
  <c r="D33" i="8"/>
  <c r="F33" i="8" s="1"/>
  <c r="C33" i="5" s="1"/>
  <c r="D34" i="8"/>
  <c r="F34" i="8" s="1"/>
  <c r="C34" i="5" s="1"/>
  <c r="D36" i="8"/>
  <c r="F36" i="8" s="1"/>
  <c r="C36" i="5" s="1"/>
  <c r="D37" i="8"/>
  <c r="F37" i="8" s="1"/>
  <c r="C37" i="5" s="1"/>
  <c r="B38" i="8"/>
  <c r="C38" i="8"/>
  <c r="E38" i="8"/>
  <c r="F41" i="8"/>
  <c r="C41" i="5" s="1"/>
  <c r="D42" i="8"/>
  <c r="F42" i="8" s="1"/>
  <c r="C42" i="5" s="1"/>
  <c r="D43" i="8"/>
  <c r="F43" i="8" s="1"/>
  <c r="C43" i="5" s="1"/>
  <c r="D44" i="8"/>
  <c r="F44" i="8" s="1"/>
  <c r="C44" i="5" s="1"/>
  <c r="F45" i="8"/>
  <c r="C45" i="5" s="1"/>
  <c r="F46" i="8"/>
  <c r="C46" i="5" s="1"/>
  <c r="B47" i="8"/>
  <c r="C47" i="8"/>
  <c r="E47" i="8"/>
  <c r="D51" i="8"/>
  <c r="F51" i="8" s="1"/>
  <c r="C51" i="5" s="1"/>
  <c r="D52" i="8"/>
  <c r="F52" i="8" s="1"/>
  <c r="C52" i="5" s="1"/>
  <c r="D53" i="8"/>
  <c r="F53" i="8" s="1"/>
  <c r="C53" i="5" s="1"/>
  <c r="B54" i="8"/>
  <c r="C54" i="8"/>
  <c r="E54" i="8"/>
  <c r="C9" i="5"/>
  <c r="E9" i="5"/>
  <c r="I22" i="5"/>
  <c r="I28" i="5"/>
  <c r="I30" i="5"/>
  <c r="I31" i="5" s="1"/>
  <c r="C13" i="1"/>
  <c r="C13" i="25" s="1"/>
  <c r="C14" i="1"/>
  <c r="C14" i="25" s="1"/>
  <c r="B14" i="4"/>
  <c r="C14" i="4"/>
  <c r="D14" i="4"/>
  <c r="E14" i="4"/>
  <c r="G14" i="4" s="1"/>
  <c r="G17" i="4"/>
  <c r="H17" i="4" s="1"/>
  <c r="B21" i="4"/>
  <c r="C21" i="4"/>
  <c r="D21" i="4"/>
  <c r="C35" i="1"/>
  <c r="C46" i="25" s="1"/>
  <c r="B32" i="4"/>
  <c r="B69" i="4" s="1"/>
  <c r="C32" i="4"/>
  <c r="D32" i="4"/>
  <c r="D69" i="4" s="1"/>
  <c r="E32" i="4"/>
  <c r="C61" i="1"/>
  <c r="C74" i="25" s="1"/>
  <c r="C62" i="1"/>
  <c r="C75" i="25" s="1"/>
  <c r="C64" i="1"/>
  <c r="C77" i="25" s="1"/>
  <c r="C66" i="1"/>
  <c r="C79" i="25" s="1"/>
  <c r="B43" i="4"/>
  <c r="C43" i="4"/>
  <c r="D43" i="4"/>
  <c r="E43" i="4"/>
  <c r="C70" i="1"/>
  <c r="C83" i="25" s="1"/>
  <c r="C72" i="1"/>
  <c r="C85" i="25" s="1"/>
  <c r="C73" i="1"/>
  <c r="C86" i="25" s="1"/>
  <c r="C74" i="1"/>
  <c r="C87" i="25" s="1"/>
  <c r="C75" i="1"/>
  <c r="C88" i="25" s="1"/>
  <c r="C76" i="1"/>
  <c r="C89" i="25" s="1"/>
  <c r="B55" i="4"/>
  <c r="C55" i="4"/>
  <c r="D55" i="4"/>
  <c r="E55" i="4"/>
  <c r="G55" i="4" s="1"/>
  <c r="C82" i="1"/>
  <c r="C95" i="25" s="1"/>
  <c r="C86" i="1"/>
  <c r="C99" i="25" s="1"/>
  <c r="C87" i="1"/>
  <c r="C100" i="25" s="1"/>
  <c r="G65" i="4"/>
  <c r="D8" i="2"/>
  <c r="M8" i="2" s="1"/>
  <c r="D10" i="2"/>
  <c r="M10" i="2" s="1"/>
  <c r="B10" i="1" s="1"/>
  <c r="D12" i="2"/>
  <c r="M12" i="2" s="1"/>
  <c r="B13" i="1" s="1"/>
  <c r="B13" i="25" s="1"/>
  <c r="D13" i="2"/>
  <c r="M13" i="2" s="1"/>
  <c r="B14" i="1" s="1"/>
  <c r="B14" i="25" s="1"/>
  <c r="D14" i="2"/>
  <c r="M14" i="2" s="1"/>
  <c r="C15" i="2"/>
  <c r="E15" i="2"/>
  <c r="F15" i="2"/>
  <c r="G15" i="2"/>
  <c r="H15" i="2"/>
  <c r="I15" i="2"/>
  <c r="J15" i="2"/>
  <c r="K15" i="2"/>
  <c r="B23" i="2"/>
  <c r="B53" i="2" s="1"/>
  <c r="D18" i="2"/>
  <c r="M18" i="2" s="1"/>
  <c r="D19" i="2"/>
  <c r="M19" i="2" s="1"/>
  <c r="B23" i="1" s="1"/>
  <c r="B28" i="25" s="1"/>
  <c r="D20" i="2"/>
  <c r="M20" i="2" s="1"/>
  <c r="B24" i="1" s="1"/>
  <c r="B29" i="25" s="1"/>
  <c r="D21" i="2"/>
  <c r="M21" i="2" s="1"/>
  <c r="B25" i="1" s="1"/>
  <c r="B30" i="25" s="1"/>
  <c r="D22" i="2"/>
  <c r="M22" i="2" s="1"/>
  <c r="B26" i="1" s="1"/>
  <c r="B36" i="25" s="1"/>
  <c r="E23" i="2"/>
  <c r="E53" i="2" s="1"/>
  <c r="F23" i="2"/>
  <c r="F53" i="2" s="1"/>
  <c r="G23" i="2"/>
  <c r="G53" i="2" s="1"/>
  <c r="H23" i="2"/>
  <c r="H53" i="2" s="1"/>
  <c r="I23" i="2"/>
  <c r="I53" i="2" s="1"/>
  <c r="J23" i="2"/>
  <c r="J53" i="2" s="1"/>
  <c r="K23" i="2"/>
  <c r="K53" i="2" s="1"/>
  <c r="D32" i="2"/>
  <c r="M32" i="2" s="1"/>
  <c r="B53" i="1"/>
  <c r="B66" i="25" s="1"/>
  <c r="B87" i="2"/>
  <c r="C64" i="2"/>
  <c r="E64" i="2"/>
  <c r="F64" i="2"/>
  <c r="G64" i="2"/>
  <c r="H64" i="2"/>
  <c r="I64" i="2"/>
  <c r="J64" i="2"/>
  <c r="K64" i="2"/>
  <c r="C76" i="2"/>
  <c r="E76" i="2"/>
  <c r="F76" i="2"/>
  <c r="F78" i="2" s="1"/>
  <c r="G76" i="2"/>
  <c r="H76" i="2"/>
  <c r="I76" i="2"/>
  <c r="I78" i="2" s="1"/>
  <c r="J76" i="2"/>
  <c r="K76" i="2"/>
  <c r="C83" i="2"/>
  <c r="E83" i="2"/>
  <c r="F83" i="2"/>
  <c r="G83" i="2"/>
  <c r="H83" i="2"/>
  <c r="I83" i="2"/>
  <c r="J83" i="2"/>
  <c r="K83" i="2"/>
  <c r="F87" i="2"/>
  <c r="G87" i="2"/>
  <c r="H87" i="2"/>
  <c r="I87" i="2"/>
  <c r="J87" i="2"/>
  <c r="C8" i="1"/>
  <c r="C8" i="25" s="1"/>
  <c r="C11" i="1"/>
  <c r="C11" i="25" s="1"/>
  <c r="C15" i="1"/>
  <c r="C20" i="25" s="1"/>
  <c r="G16" i="1"/>
  <c r="G17" i="1"/>
  <c r="G18" i="1"/>
  <c r="C23" i="1"/>
  <c r="C28" i="25" s="1"/>
  <c r="C25" i="1"/>
  <c r="C30" i="25" s="1"/>
  <c r="C26" i="1"/>
  <c r="C36" i="25" s="1"/>
  <c r="C52" i="1"/>
  <c r="C65" i="25" s="1"/>
  <c r="C71" i="1"/>
  <c r="C84" i="25" s="1"/>
  <c r="C77" i="1"/>
  <c r="C90" i="25" s="1"/>
  <c r="P16" i="1" l="1"/>
  <c r="R16" i="1" s="1"/>
  <c r="G21" i="25"/>
  <c r="R21" i="25" s="1"/>
  <c r="G10" i="1"/>
  <c r="B10" i="25"/>
  <c r="D14" i="8"/>
  <c r="P17" i="1"/>
  <c r="R17" i="1" s="1"/>
  <c r="G22" i="25"/>
  <c r="R22" i="25" s="1"/>
  <c r="P18" i="1"/>
  <c r="R18" i="1" s="1"/>
  <c r="G23" i="25"/>
  <c r="R23" i="25" s="1"/>
  <c r="D28" i="8"/>
  <c r="D22" i="12"/>
  <c r="B58" i="12"/>
  <c r="D28" i="12"/>
  <c r="D14" i="12"/>
  <c r="B35" i="1"/>
  <c r="B46" i="25" s="1"/>
  <c r="N51" i="2"/>
  <c r="N23" i="2"/>
  <c r="B8" i="1"/>
  <c r="B8" i="25" s="1"/>
  <c r="B58" i="8"/>
  <c r="D58" i="8"/>
  <c r="H78" i="2"/>
  <c r="L72" i="6"/>
  <c r="J78" i="2"/>
  <c r="J85" i="2" s="1"/>
  <c r="J86" i="2" s="1"/>
  <c r="R36" i="7"/>
  <c r="D36" i="5" s="1"/>
  <c r="R34" i="7"/>
  <c r="D34" i="5" s="1"/>
  <c r="R33" i="7"/>
  <c r="D33" i="5" s="1"/>
  <c r="R37" i="7"/>
  <c r="D37" i="5" s="1"/>
  <c r="Y40" i="17"/>
  <c r="Z41" i="6" s="1"/>
  <c r="C88" i="1"/>
  <c r="C101" i="25" s="1"/>
  <c r="E49" i="12"/>
  <c r="E56" i="12" s="1"/>
  <c r="E57" i="12" s="1"/>
  <c r="K13" i="12"/>
  <c r="F13" i="5" s="1"/>
  <c r="Y19" i="17"/>
  <c r="Z20" i="6" s="1"/>
  <c r="J73" i="3"/>
  <c r="B80" i="2" s="1"/>
  <c r="B22" i="1"/>
  <c r="B27" i="25" s="1"/>
  <c r="Y64" i="17"/>
  <c r="Z65" i="6" s="1"/>
  <c r="Y56" i="17"/>
  <c r="Z57" i="6" s="1"/>
  <c r="Y54" i="17"/>
  <c r="Y23" i="17"/>
  <c r="Y66" i="17"/>
  <c r="Z67" i="6" s="1"/>
  <c r="Y58" i="17"/>
  <c r="Z59" i="6" s="1"/>
  <c r="Y49" i="17"/>
  <c r="Z50" i="6" s="1"/>
  <c r="Y65" i="17"/>
  <c r="Z66" i="6" s="1"/>
  <c r="Y59" i="17"/>
  <c r="Z60" i="6" s="1"/>
  <c r="Y57" i="17"/>
  <c r="Z58" i="6" s="1"/>
  <c r="Y55" i="17"/>
  <c r="Z56" i="6" s="1"/>
  <c r="Y50" i="17"/>
  <c r="Z51" i="6" s="1"/>
  <c r="Y47" i="17"/>
  <c r="Z48" i="6" s="1"/>
  <c r="Y10" i="17"/>
  <c r="Z10" i="6" s="1"/>
  <c r="Y11" i="17"/>
  <c r="Z11" i="6" s="1"/>
  <c r="Y8" i="17"/>
  <c r="Z8" i="6" s="1"/>
  <c r="K11" i="12"/>
  <c r="F11" i="5" s="1"/>
  <c r="Y46" i="17"/>
  <c r="Z47" i="6" s="1"/>
  <c r="Y18" i="17"/>
  <c r="Z18" i="6" s="1"/>
  <c r="Y17" i="17"/>
  <c r="Z17" i="6" s="1"/>
  <c r="Y16" i="17"/>
  <c r="Z16" i="6" s="1"/>
  <c r="Y12" i="17"/>
  <c r="Z12" i="6" s="1"/>
  <c r="Y9" i="17"/>
  <c r="Z9" i="6" s="1"/>
  <c r="E44" i="15"/>
  <c r="E45" i="15" s="1"/>
  <c r="K52" i="12"/>
  <c r="F52" i="5" s="1"/>
  <c r="K46" i="12"/>
  <c r="F46" i="5" s="1"/>
  <c r="K44" i="12"/>
  <c r="F44" i="5" s="1"/>
  <c r="K42" i="12"/>
  <c r="F42" i="5" s="1"/>
  <c r="K37" i="12"/>
  <c r="F37" i="5" s="1"/>
  <c r="K34" i="12"/>
  <c r="F34" i="5" s="1"/>
  <c r="K27" i="12"/>
  <c r="F27" i="5" s="1"/>
  <c r="K25" i="12"/>
  <c r="F25" i="5" s="1"/>
  <c r="K20" i="12"/>
  <c r="F20" i="5" s="1"/>
  <c r="K18" i="12"/>
  <c r="F18" i="5" s="1"/>
  <c r="K9" i="12"/>
  <c r="F9" i="5" s="1"/>
  <c r="R13" i="7"/>
  <c r="D13" i="5" s="1"/>
  <c r="R12" i="7"/>
  <c r="D12" i="5" s="1"/>
  <c r="R11" i="7"/>
  <c r="D11" i="5" s="1"/>
  <c r="R10" i="7"/>
  <c r="D10" i="5" s="1"/>
  <c r="R9" i="7"/>
  <c r="D9" i="5" s="1"/>
  <c r="W42" i="15"/>
  <c r="R8" i="7"/>
  <c r="D8" i="5" s="1"/>
  <c r="O44" i="15"/>
  <c r="O45" i="15" s="1"/>
  <c r="M42" i="15"/>
  <c r="M72" i="15" s="1"/>
  <c r="N41" i="15"/>
  <c r="R21" i="7"/>
  <c r="D21" i="5" s="1"/>
  <c r="R20" i="7"/>
  <c r="D20" i="5" s="1"/>
  <c r="R19" i="7"/>
  <c r="D19" i="5" s="1"/>
  <c r="R18" i="7"/>
  <c r="D18" i="5" s="1"/>
  <c r="R17" i="7"/>
  <c r="D17" i="5" s="1"/>
  <c r="AB19" i="6"/>
  <c r="O72" i="15"/>
  <c r="Q42" i="15"/>
  <c r="Q72" i="15" s="1"/>
  <c r="H72" i="15"/>
  <c r="J42" i="15"/>
  <c r="B44" i="15"/>
  <c r="O73" i="3"/>
  <c r="B61" i="2" s="1"/>
  <c r="D61" i="2" s="1"/>
  <c r="M61" i="2" s="1"/>
  <c r="B64" i="1" s="1"/>
  <c r="B77" i="25" s="1"/>
  <c r="T42" i="15"/>
  <c r="T72" i="15" s="1"/>
  <c r="K53" i="12"/>
  <c r="F53" i="5" s="1"/>
  <c r="K51" i="12"/>
  <c r="F51" i="5" s="1"/>
  <c r="K45" i="12"/>
  <c r="F45" i="5" s="1"/>
  <c r="K43" i="12"/>
  <c r="F43" i="5" s="1"/>
  <c r="K41" i="12"/>
  <c r="F41" i="5" s="1"/>
  <c r="K36" i="12"/>
  <c r="F36" i="5" s="1"/>
  <c r="K33" i="12"/>
  <c r="F33" i="5" s="1"/>
  <c r="K26" i="12"/>
  <c r="F26" i="5" s="1"/>
  <c r="K21" i="12"/>
  <c r="F21" i="5" s="1"/>
  <c r="K19" i="12"/>
  <c r="F19" i="5" s="1"/>
  <c r="K17" i="12"/>
  <c r="F17" i="5" s="1"/>
  <c r="K12" i="12"/>
  <c r="F12" i="5" s="1"/>
  <c r="K10" i="12"/>
  <c r="F10" i="5" s="1"/>
  <c r="R53" i="7"/>
  <c r="D53" i="5" s="1"/>
  <c r="R52" i="7"/>
  <c r="D52" i="5" s="1"/>
  <c r="R51" i="7"/>
  <c r="D51" i="5" s="1"/>
  <c r="R26" i="7"/>
  <c r="D26" i="5" s="1"/>
  <c r="R25" i="7"/>
  <c r="D25" i="5" s="1"/>
  <c r="R46" i="7"/>
  <c r="D46" i="5" s="1"/>
  <c r="R45" i="7"/>
  <c r="D45" i="5" s="1"/>
  <c r="R44" i="7"/>
  <c r="D44" i="5" s="1"/>
  <c r="R43" i="7"/>
  <c r="D43" i="5" s="1"/>
  <c r="R42" i="7"/>
  <c r="D42" i="5" s="1"/>
  <c r="AH36" i="6"/>
  <c r="B34" i="4"/>
  <c r="B35" i="4" s="1"/>
  <c r="C34" i="4"/>
  <c r="C35" i="4" s="1"/>
  <c r="D34" i="4"/>
  <c r="D35" i="4" s="1"/>
  <c r="B15" i="1"/>
  <c r="B20" i="25" s="1"/>
  <c r="B52" i="1"/>
  <c r="B65" i="25" s="1"/>
  <c r="Q42" i="6"/>
  <c r="E73" i="3"/>
  <c r="J54" i="2"/>
  <c r="H54" i="2"/>
  <c r="F54" i="2"/>
  <c r="K54" i="2"/>
  <c r="I54" i="2"/>
  <c r="G54" i="2"/>
  <c r="E54" i="2"/>
  <c r="K73" i="3"/>
  <c r="B40" i="21"/>
  <c r="B47" i="21" s="1"/>
  <c r="D54" i="8"/>
  <c r="F54" i="8" s="1"/>
  <c r="C54" i="5" s="1"/>
  <c r="F44" i="6"/>
  <c r="F45" i="6" s="1"/>
  <c r="Z55" i="6"/>
  <c r="I73" i="3"/>
  <c r="I52" i="9"/>
  <c r="E52" i="5" s="1"/>
  <c r="C56" i="11"/>
  <c r="C57" i="11" s="1"/>
  <c r="H73" i="3"/>
  <c r="F65" i="3"/>
  <c r="AE16" i="3"/>
  <c r="AH16" i="3" s="1"/>
  <c r="AE45" i="3"/>
  <c r="AH45" i="3" s="1"/>
  <c r="AE46" i="3"/>
  <c r="AH46" i="3" s="1"/>
  <c r="H17" i="18"/>
  <c r="Y17" i="6" s="1"/>
  <c r="H12" i="18"/>
  <c r="Y12" i="6" s="1"/>
  <c r="F43" i="14"/>
  <c r="U68" i="6"/>
  <c r="E49" i="8"/>
  <c r="E56" i="8" s="1"/>
  <c r="H12" i="16"/>
  <c r="R12" i="6" s="1"/>
  <c r="H55" i="4"/>
  <c r="C78" i="1" s="1"/>
  <c r="C91" i="25" s="1"/>
  <c r="H54" i="9"/>
  <c r="I30" i="13"/>
  <c r="I31" i="13" s="1"/>
  <c r="H43" i="4"/>
  <c r="C67" i="1" s="1"/>
  <c r="C80" i="25" s="1"/>
  <c r="K49" i="13"/>
  <c r="K56" i="13" s="1"/>
  <c r="K57" i="13" s="1"/>
  <c r="K68" i="6"/>
  <c r="AE59" i="3"/>
  <c r="AH59" i="3" s="1"/>
  <c r="E46" i="16"/>
  <c r="E53" i="16" s="1"/>
  <c r="E54" i="16" s="1"/>
  <c r="I63" i="14"/>
  <c r="D65" i="6" s="1"/>
  <c r="I11" i="14"/>
  <c r="D11" i="6" s="1"/>
  <c r="E20" i="19"/>
  <c r="AB21" i="6" s="1"/>
  <c r="E13" i="19"/>
  <c r="AB13" i="6" s="1"/>
  <c r="K49" i="7"/>
  <c r="K56" i="7" s="1"/>
  <c r="O72" i="6"/>
  <c r="AE63" i="6"/>
  <c r="AE70" i="6" s="1"/>
  <c r="AE71" i="6" s="1"/>
  <c r="L30" i="7"/>
  <c r="L31" i="7" s="1"/>
  <c r="D28" i="7"/>
  <c r="O30" i="7"/>
  <c r="O31" i="7" s="1"/>
  <c r="I30" i="7"/>
  <c r="I31" i="7" s="1"/>
  <c r="I20" i="9"/>
  <c r="E20" i="5" s="1"/>
  <c r="I18" i="9"/>
  <c r="E18" i="5" s="1"/>
  <c r="H66" i="18"/>
  <c r="Y67" i="6" s="1"/>
  <c r="H64" i="18"/>
  <c r="Y65" i="6" s="1"/>
  <c r="H56" i="18"/>
  <c r="Y57" i="6" s="1"/>
  <c r="G22" i="13"/>
  <c r="L44" i="6"/>
  <c r="L45" i="6" s="1"/>
  <c r="C61" i="14"/>
  <c r="C68" i="14" s="1"/>
  <c r="I14" i="14"/>
  <c r="N56" i="15"/>
  <c r="Y56" i="15" s="1"/>
  <c r="AA56" i="6" s="1"/>
  <c r="H23" i="16"/>
  <c r="R24" i="6" s="1"/>
  <c r="C61" i="19"/>
  <c r="C68" i="19" s="1"/>
  <c r="C69" i="19" s="1"/>
  <c r="C49" i="7"/>
  <c r="C56" i="7" s="1"/>
  <c r="C57" i="7" s="1"/>
  <c r="T63" i="6"/>
  <c r="T70" i="6" s="1"/>
  <c r="T71" i="6" s="1"/>
  <c r="I63" i="6"/>
  <c r="I70" i="6" s="1"/>
  <c r="I71" i="6" s="1"/>
  <c r="H16" i="16"/>
  <c r="R16" i="6" s="1"/>
  <c r="U52" i="6"/>
  <c r="P62" i="17"/>
  <c r="P69" i="17" s="1"/>
  <c r="P70" i="17" s="1"/>
  <c r="J28" i="7"/>
  <c r="J58" i="7" s="1"/>
  <c r="I45" i="9"/>
  <c r="E45" i="5" s="1"/>
  <c r="I12" i="9"/>
  <c r="E12" i="5" s="1"/>
  <c r="N8" i="13"/>
  <c r="G8" i="5" s="1"/>
  <c r="B30" i="8"/>
  <c r="M49" i="7"/>
  <c r="M56" i="7" s="1"/>
  <c r="Q47" i="7"/>
  <c r="P30" i="7"/>
  <c r="P31" i="7" s="1"/>
  <c r="B49" i="10"/>
  <c r="B56" i="10" s="1"/>
  <c r="B57" i="10" s="1"/>
  <c r="G54" i="13"/>
  <c r="N37" i="13"/>
  <c r="G37" i="5" s="1"/>
  <c r="L30" i="13"/>
  <c r="L31" i="13" s="1"/>
  <c r="B30" i="13"/>
  <c r="B31" i="13" s="1"/>
  <c r="Q68" i="6"/>
  <c r="AG61" i="6"/>
  <c r="E63" i="6"/>
  <c r="E70" i="6" s="1"/>
  <c r="E71" i="6" s="1"/>
  <c r="C44" i="6"/>
  <c r="C44" i="15"/>
  <c r="C45" i="15" s="1"/>
  <c r="N20" i="15"/>
  <c r="Y20" i="15" s="1"/>
  <c r="AA20" i="6" s="1"/>
  <c r="W21" i="15"/>
  <c r="AE44" i="3"/>
  <c r="AH44" i="3" s="1"/>
  <c r="H85" i="2"/>
  <c r="H86" i="2" s="1"/>
  <c r="C30" i="8"/>
  <c r="F49" i="13"/>
  <c r="F56" i="13" s="1"/>
  <c r="F57" i="13" s="1"/>
  <c r="N46" i="13"/>
  <c r="G46" i="5" s="1"/>
  <c r="M63" i="6"/>
  <c r="M70" i="6" s="1"/>
  <c r="M71" i="6" s="1"/>
  <c r="U21" i="6"/>
  <c r="AG13" i="6"/>
  <c r="X13" i="6"/>
  <c r="D50" i="14"/>
  <c r="D41" i="14"/>
  <c r="I22" i="14"/>
  <c r="P63" i="15"/>
  <c r="P70" i="15" s="1"/>
  <c r="P71" i="15" s="1"/>
  <c r="B45" i="15"/>
  <c r="N17" i="15"/>
  <c r="Y17" i="15" s="1"/>
  <c r="AA17" i="6" s="1"/>
  <c r="G13" i="15"/>
  <c r="D51" i="16"/>
  <c r="U60" i="17"/>
  <c r="O60" i="17"/>
  <c r="I54" i="14"/>
  <c r="I52" i="14"/>
  <c r="E72" i="15"/>
  <c r="R63" i="15"/>
  <c r="R70" i="15" s="1"/>
  <c r="W52" i="15"/>
  <c r="U13" i="17"/>
  <c r="O13" i="17"/>
  <c r="E62" i="18"/>
  <c r="E69" i="18" s="1"/>
  <c r="E70" i="18" s="1"/>
  <c r="B43" i="18"/>
  <c r="F61" i="20"/>
  <c r="F68" i="20" s="1"/>
  <c r="AE62" i="3"/>
  <c r="AH62" i="3" s="1"/>
  <c r="AE17" i="3"/>
  <c r="AH17" i="3" s="1"/>
  <c r="C23" i="21"/>
  <c r="D60" i="2"/>
  <c r="M60" i="2" s="1"/>
  <c r="C30" i="7"/>
  <c r="C31" i="7" s="1"/>
  <c r="K78" i="2"/>
  <c r="K85" i="2" s="1"/>
  <c r="G78" i="2"/>
  <c r="G85" i="2" s="1"/>
  <c r="G86" i="2" s="1"/>
  <c r="F26" i="8"/>
  <c r="C26" i="5" s="1"/>
  <c r="C49" i="9"/>
  <c r="C56" i="9" s="1"/>
  <c r="C57" i="9" s="1"/>
  <c r="D54" i="9"/>
  <c r="J44" i="6"/>
  <c r="J45" i="6" s="1"/>
  <c r="K21" i="6"/>
  <c r="S72" i="15"/>
  <c r="S44" i="15"/>
  <c r="S45" i="15" s="1"/>
  <c r="Q21" i="15"/>
  <c r="AH50" i="6"/>
  <c r="H19" i="20"/>
  <c r="AH20" i="6" s="1"/>
  <c r="C49" i="8"/>
  <c r="C56" i="8" s="1"/>
  <c r="Q38" i="7"/>
  <c r="I49" i="13"/>
  <c r="I56" i="13" s="1"/>
  <c r="I57" i="13" s="1"/>
  <c r="N27" i="13"/>
  <c r="G27" i="5" s="1"/>
  <c r="M43" i="17"/>
  <c r="M44" i="17" s="1"/>
  <c r="E66" i="19"/>
  <c r="AB68" i="6" s="1"/>
  <c r="E69" i="4"/>
  <c r="G32" i="4"/>
  <c r="N60" i="15"/>
  <c r="Y60" i="15" s="1"/>
  <c r="AA60" i="6" s="1"/>
  <c r="P44" i="15"/>
  <c r="P45" i="15" s="1"/>
  <c r="D42" i="15"/>
  <c r="D70" i="19"/>
  <c r="D43" i="19"/>
  <c r="D44" i="19" s="1"/>
  <c r="B61" i="20"/>
  <c r="B68" i="20" s="1"/>
  <c r="D50" i="20"/>
  <c r="R56" i="3"/>
  <c r="AE56" i="3" s="1"/>
  <c r="AH56" i="3" s="1"/>
  <c r="D56" i="3"/>
  <c r="D50" i="3"/>
  <c r="R50" i="3"/>
  <c r="AE50" i="3" s="1"/>
  <c r="AH50" i="3" s="1"/>
  <c r="H14" i="4"/>
  <c r="C19" i="1" s="1"/>
  <c r="C24" i="25" s="1"/>
  <c r="D47" i="7"/>
  <c r="I51" i="9"/>
  <c r="E51" i="5" s="1"/>
  <c r="I27" i="9"/>
  <c r="D54" i="10"/>
  <c r="F54" i="10" s="1"/>
  <c r="B54" i="5" s="1"/>
  <c r="F8" i="5"/>
  <c r="U42" i="6"/>
  <c r="U72" i="6" s="1"/>
  <c r="K42" i="6"/>
  <c r="X21" i="6"/>
  <c r="E44" i="6"/>
  <c r="E45" i="6" s="1"/>
  <c r="I57" i="14"/>
  <c r="I55" i="14"/>
  <c r="I53" i="14"/>
  <c r="G41" i="14"/>
  <c r="I40" i="14"/>
  <c r="D41" i="6" s="1"/>
  <c r="I23" i="14"/>
  <c r="I16" i="14"/>
  <c r="D16" i="6" s="1"/>
  <c r="G13" i="14"/>
  <c r="I12" i="14"/>
  <c r="D12" i="6" s="1"/>
  <c r="N58" i="15"/>
  <c r="Y58" i="15" s="1"/>
  <c r="C63" i="15"/>
  <c r="C70" i="15" s="1"/>
  <c r="C71" i="15" s="1"/>
  <c r="U44" i="15"/>
  <c r="U45" i="15" s="1"/>
  <c r="J72" i="15"/>
  <c r="D44" i="16"/>
  <c r="H42" i="16"/>
  <c r="R59" i="6" s="1"/>
  <c r="H40" i="16"/>
  <c r="R57" i="6" s="1"/>
  <c r="G13" i="16"/>
  <c r="U67" i="17"/>
  <c r="F67" i="17"/>
  <c r="R60" i="17"/>
  <c r="H40" i="18"/>
  <c r="Y41" i="6" s="1"/>
  <c r="H11" i="18"/>
  <c r="Y11" i="6" s="1"/>
  <c r="D61" i="19"/>
  <c r="D68" i="19" s="1"/>
  <c r="G66" i="20"/>
  <c r="H66" i="20" s="1"/>
  <c r="AH68" i="6" s="1"/>
  <c r="H55" i="20"/>
  <c r="AH57" i="6" s="1"/>
  <c r="D70" i="20"/>
  <c r="D43" i="20"/>
  <c r="G20" i="20"/>
  <c r="H20" i="20" s="1"/>
  <c r="AH21" i="6" s="1"/>
  <c r="H18" i="20"/>
  <c r="AH18" i="6" s="1"/>
  <c r="AE19" i="3"/>
  <c r="AH19" i="3" s="1"/>
  <c r="Q64" i="3"/>
  <c r="A23" i="21"/>
  <c r="N54" i="7"/>
  <c r="O49" i="7"/>
  <c r="O56" i="7" s="1"/>
  <c r="O57" i="7" s="1"/>
  <c r="I49" i="7"/>
  <c r="I56" i="7" s="1"/>
  <c r="I57" i="7" s="1"/>
  <c r="I10" i="9"/>
  <c r="E10" i="5" s="1"/>
  <c r="E49" i="10"/>
  <c r="E56" i="10" s="1"/>
  <c r="C30" i="11"/>
  <c r="B30" i="12"/>
  <c r="J54" i="13"/>
  <c r="U61" i="6"/>
  <c r="I60" i="14"/>
  <c r="I44" i="14"/>
  <c r="H43" i="14"/>
  <c r="I19" i="14"/>
  <c r="D20" i="6" s="1"/>
  <c r="I17" i="14"/>
  <c r="D17" i="6" s="1"/>
  <c r="I9" i="14"/>
  <c r="D9" i="6" s="1"/>
  <c r="U63" i="15"/>
  <c r="U70" i="15" s="1"/>
  <c r="O63" i="15"/>
  <c r="O70" i="15" s="1"/>
  <c r="Q61" i="15"/>
  <c r="G51" i="16"/>
  <c r="H48" i="16"/>
  <c r="R65" i="6" s="1"/>
  <c r="H10" i="16"/>
  <c r="R10" i="6" s="1"/>
  <c r="R8" i="6"/>
  <c r="F51" i="17"/>
  <c r="H43" i="17"/>
  <c r="H44" i="17" s="1"/>
  <c r="G51" i="18"/>
  <c r="H50" i="18"/>
  <c r="Y51" i="6" s="1"/>
  <c r="H19" i="18"/>
  <c r="Y20" i="6" s="1"/>
  <c r="H53" i="20"/>
  <c r="AH55" i="6" s="1"/>
  <c r="H49" i="20"/>
  <c r="AH51" i="6" s="1"/>
  <c r="H16" i="20"/>
  <c r="AH16" i="6" s="1"/>
  <c r="D60" i="3"/>
  <c r="AE51" i="3"/>
  <c r="AH51" i="3" s="1"/>
  <c r="AE34" i="3"/>
  <c r="AH34" i="3" s="1"/>
  <c r="I85" i="2"/>
  <c r="I86" i="2" s="1"/>
  <c r="D14" i="11"/>
  <c r="H14" i="5" s="1"/>
  <c r="D35" i="16"/>
  <c r="C46" i="16"/>
  <c r="C53" i="16" s="1"/>
  <c r="C54" i="16" s="1"/>
  <c r="E21" i="4"/>
  <c r="E34" i="4" s="1"/>
  <c r="C22" i="1"/>
  <c r="C27" i="25" s="1"/>
  <c r="Q54" i="7"/>
  <c r="K58" i="7"/>
  <c r="K30" i="7"/>
  <c r="K31" i="7" s="1"/>
  <c r="D38" i="12"/>
  <c r="M21" i="15"/>
  <c r="S43" i="17"/>
  <c r="S44" i="17" s="1"/>
  <c r="S71" i="17"/>
  <c r="B15" i="2"/>
  <c r="D9" i="2"/>
  <c r="M9" i="2" s="1"/>
  <c r="N15" i="2" s="1"/>
  <c r="J38" i="7"/>
  <c r="N38" i="7"/>
  <c r="I41" i="9"/>
  <c r="E41" i="5" s="1"/>
  <c r="D43" i="9"/>
  <c r="D47" i="9" s="1"/>
  <c r="C49" i="10"/>
  <c r="C56" i="10" s="1"/>
  <c r="L49" i="13"/>
  <c r="L56" i="13" s="1"/>
  <c r="L57" i="13" s="1"/>
  <c r="E49" i="13"/>
  <c r="E56" i="13" s="1"/>
  <c r="E57" i="13" s="1"/>
  <c r="M38" i="13"/>
  <c r="K30" i="13"/>
  <c r="F30" i="13"/>
  <c r="F31" i="13" s="1"/>
  <c r="M22" i="13"/>
  <c r="D28" i="10"/>
  <c r="D58" i="10" s="1"/>
  <c r="F25" i="10"/>
  <c r="B25" i="5" s="1"/>
  <c r="M28" i="13"/>
  <c r="M58" i="13" s="1"/>
  <c r="X20" i="17"/>
  <c r="W43" i="17"/>
  <c r="W44" i="17" s="1"/>
  <c r="C78" i="2"/>
  <c r="C85" i="2" s="1"/>
  <c r="N52" i="13"/>
  <c r="G52" i="5" s="1"/>
  <c r="E30" i="13"/>
  <c r="E31" i="13" s="1"/>
  <c r="C54" i="1"/>
  <c r="C67" i="25" s="1"/>
  <c r="F17" i="8"/>
  <c r="C17" i="5" s="1"/>
  <c r="E49" i="9"/>
  <c r="E56" i="9" s="1"/>
  <c r="E57" i="9" s="1"/>
  <c r="I21" i="9"/>
  <c r="E21" i="5" s="1"/>
  <c r="D22" i="9"/>
  <c r="B30" i="10"/>
  <c r="B31" i="10" s="1"/>
  <c r="F58" i="12"/>
  <c r="F30" i="12"/>
  <c r="F31" i="12" s="1"/>
  <c r="G28" i="12"/>
  <c r="G58" i="12" s="1"/>
  <c r="N13" i="13"/>
  <c r="G13" i="5" s="1"/>
  <c r="G14" i="13"/>
  <c r="N11" i="13"/>
  <c r="G11" i="5" s="1"/>
  <c r="F85" i="2"/>
  <c r="F86" i="2" s="1"/>
  <c r="E57" i="4"/>
  <c r="B57" i="4"/>
  <c r="B49" i="8"/>
  <c r="B56" i="8" s="1"/>
  <c r="B57" i="8" s="1"/>
  <c r="H30" i="7"/>
  <c r="H31" i="7" s="1"/>
  <c r="G56" i="9"/>
  <c r="G57" i="9" s="1"/>
  <c r="I42" i="9"/>
  <c r="E42" i="5" s="1"/>
  <c r="F49" i="9"/>
  <c r="F56" i="9" s="1"/>
  <c r="F57" i="9" s="1"/>
  <c r="I37" i="9"/>
  <c r="E37" i="5" s="1"/>
  <c r="I34" i="9"/>
  <c r="E34" i="5" s="1"/>
  <c r="I26" i="9"/>
  <c r="E26" i="5" s="1"/>
  <c r="F30" i="9"/>
  <c r="F31" i="9" s="1"/>
  <c r="I13" i="9"/>
  <c r="E13" i="5" s="1"/>
  <c r="C49" i="12"/>
  <c r="C56" i="12" s="1"/>
  <c r="C57" i="12" s="1"/>
  <c r="E30" i="12"/>
  <c r="E31" i="12" s="1"/>
  <c r="G22" i="12"/>
  <c r="N44" i="13"/>
  <c r="G44" i="5" s="1"/>
  <c r="N43" i="13"/>
  <c r="G43" i="5" s="1"/>
  <c r="N42" i="13"/>
  <c r="G42" i="5" s="1"/>
  <c r="N41" i="13"/>
  <c r="G41" i="5" s="1"/>
  <c r="H49" i="13"/>
  <c r="H56" i="13" s="1"/>
  <c r="H57" i="13" s="1"/>
  <c r="N34" i="13"/>
  <c r="G34" i="5" s="1"/>
  <c r="G28" i="13"/>
  <c r="G58" i="13" s="1"/>
  <c r="H30" i="13"/>
  <c r="H31" i="13" s="1"/>
  <c r="C30" i="13"/>
  <c r="C31" i="13" s="1"/>
  <c r="N21" i="13"/>
  <c r="G21" i="5" s="1"/>
  <c r="N44" i="6"/>
  <c r="N45" i="6" s="1"/>
  <c r="D20" i="14"/>
  <c r="B43" i="14"/>
  <c r="E28" i="16"/>
  <c r="D38" i="9"/>
  <c r="H28" i="9"/>
  <c r="H58" i="9" s="1"/>
  <c r="B30" i="9"/>
  <c r="B31" i="9" s="1"/>
  <c r="B49" i="11"/>
  <c r="B56" i="11" s="1"/>
  <c r="B57" i="11" s="1"/>
  <c r="D38" i="11"/>
  <c r="H38" i="5" s="1"/>
  <c r="D22" i="11"/>
  <c r="H22" i="5" s="1"/>
  <c r="C49" i="13"/>
  <c r="C56" i="13" s="1"/>
  <c r="C57" i="13" s="1"/>
  <c r="N17" i="13"/>
  <c r="G17" i="5" s="1"/>
  <c r="C62" i="18"/>
  <c r="C69" i="18" s="1"/>
  <c r="G59" i="14"/>
  <c r="I58" i="14"/>
  <c r="D60" i="6" s="1"/>
  <c r="E61" i="14"/>
  <c r="E68" i="14" s="1"/>
  <c r="I49" i="14"/>
  <c r="D51" i="6" s="1"/>
  <c r="I47" i="14"/>
  <c r="D48" i="6" s="1"/>
  <c r="I45" i="14"/>
  <c r="N50" i="15"/>
  <c r="Y50" i="15" s="1"/>
  <c r="AA50" i="6" s="1"/>
  <c r="L44" i="15"/>
  <c r="L45" i="15" s="1"/>
  <c r="N10" i="15"/>
  <c r="Y10" i="15" s="1"/>
  <c r="AA10" i="6" s="1"/>
  <c r="M13" i="15"/>
  <c r="H38" i="16"/>
  <c r="R55" i="6" s="1"/>
  <c r="G20" i="16"/>
  <c r="H17" i="16"/>
  <c r="R17" i="6" s="1"/>
  <c r="H9" i="16"/>
  <c r="R9" i="6" s="1"/>
  <c r="O41" i="17"/>
  <c r="D41" i="18"/>
  <c r="D71" i="18" s="1"/>
  <c r="H9" i="18"/>
  <c r="Y9" i="6" s="1"/>
  <c r="R24" i="3"/>
  <c r="AE24" i="3" s="1"/>
  <c r="AH24" i="3" s="1"/>
  <c r="P64" i="3"/>
  <c r="P73" i="3" s="1"/>
  <c r="B62" i="2" s="1"/>
  <c r="B65" i="1" s="1"/>
  <c r="B78" i="25" s="1"/>
  <c r="X68" i="6"/>
  <c r="O63" i="6"/>
  <c r="O70" i="6" s="1"/>
  <c r="B44" i="6"/>
  <c r="B45" i="6" s="1"/>
  <c r="G66" i="14"/>
  <c r="W68" i="15"/>
  <c r="E63" i="15"/>
  <c r="E70" i="15" s="1"/>
  <c r="T52" i="15"/>
  <c r="N12" i="15"/>
  <c r="Y12" i="15" s="1"/>
  <c r="AA12" i="6" s="1"/>
  <c r="W13" i="15"/>
  <c r="N8" i="15"/>
  <c r="H41" i="16"/>
  <c r="R58" i="6" s="1"/>
  <c r="H33" i="16"/>
  <c r="R50" i="6" s="1"/>
  <c r="H24" i="16"/>
  <c r="R36" i="6" s="1"/>
  <c r="H18" i="16"/>
  <c r="R18" i="6" s="1"/>
  <c r="V62" i="17"/>
  <c r="V69" i="17" s="1"/>
  <c r="G62" i="17"/>
  <c r="G69" i="17" s="1"/>
  <c r="G70" i="17" s="1"/>
  <c r="X51" i="17"/>
  <c r="I51" i="17"/>
  <c r="I41" i="17"/>
  <c r="I71" i="17" s="1"/>
  <c r="X13" i="17"/>
  <c r="F13" i="17"/>
  <c r="H54" i="18"/>
  <c r="Y55" i="6" s="1"/>
  <c r="H47" i="18"/>
  <c r="F43" i="18"/>
  <c r="H18" i="18"/>
  <c r="Y18" i="6" s="1"/>
  <c r="Y8" i="6"/>
  <c r="C43" i="19"/>
  <c r="C44" i="19" s="1"/>
  <c r="G59" i="20"/>
  <c r="AE57" i="3"/>
  <c r="AH57" i="3" s="1"/>
  <c r="AE53" i="3"/>
  <c r="AH53" i="3" s="1"/>
  <c r="AE48" i="3"/>
  <c r="AH48" i="3" s="1"/>
  <c r="R47" i="3"/>
  <c r="AE47" i="3" s="1"/>
  <c r="AH47" i="3" s="1"/>
  <c r="AE29" i="3"/>
  <c r="AH29" i="3" s="1"/>
  <c r="AE25" i="3"/>
  <c r="AH25" i="3" s="1"/>
  <c r="AE21" i="3"/>
  <c r="AH21" i="3" s="1"/>
  <c r="AE12" i="3"/>
  <c r="AH12" i="3" s="1"/>
  <c r="AE10" i="3"/>
  <c r="AH10" i="3" s="1"/>
  <c r="C49" i="21"/>
  <c r="A40" i="21"/>
  <c r="A47" i="21" s="1"/>
  <c r="A48" i="21" s="1"/>
  <c r="AD44" i="6"/>
  <c r="AD45" i="6" s="1"/>
  <c r="D66" i="14"/>
  <c r="I64" i="14"/>
  <c r="D66" i="6" s="1"/>
  <c r="I48" i="14"/>
  <c r="I42" i="14"/>
  <c r="I21" i="14"/>
  <c r="I8" i="14"/>
  <c r="D8" i="6" s="1"/>
  <c r="M68" i="15"/>
  <c r="G68" i="15"/>
  <c r="T68" i="15"/>
  <c r="Q68" i="15"/>
  <c r="I63" i="15"/>
  <c r="I70" i="15" s="1"/>
  <c r="I71" i="15" s="1"/>
  <c r="G61" i="15"/>
  <c r="J52" i="15"/>
  <c r="I44" i="15"/>
  <c r="I45" i="15" s="1"/>
  <c r="H49" i="16"/>
  <c r="R66" i="6" s="1"/>
  <c r="H32" i="16"/>
  <c r="R48" i="6" s="1"/>
  <c r="F28" i="16"/>
  <c r="D13" i="16"/>
  <c r="O67" i="17"/>
  <c r="T62" i="17"/>
  <c r="T69" i="17" s="1"/>
  <c r="T70" i="17" s="1"/>
  <c r="U20" i="17"/>
  <c r="F20" i="17"/>
  <c r="I13" i="17"/>
  <c r="G67" i="18"/>
  <c r="G60" i="18"/>
  <c r="H57" i="18"/>
  <c r="Y58" i="6" s="1"/>
  <c r="H49" i="18"/>
  <c r="Y50" i="6" s="1"/>
  <c r="D43" i="3"/>
  <c r="AE41" i="3"/>
  <c r="AH41" i="3" s="1"/>
  <c r="AE36" i="3"/>
  <c r="AH36" i="3" s="1"/>
  <c r="AE32" i="3"/>
  <c r="AH32" i="3" s="1"/>
  <c r="AE14" i="3"/>
  <c r="AH14" i="3" s="1"/>
  <c r="C40" i="21"/>
  <c r="C47" i="21" s="1"/>
  <c r="C57" i="4"/>
  <c r="C67" i="4" s="1"/>
  <c r="D47" i="8"/>
  <c r="F47" i="8" s="1"/>
  <c r="C47" i="5" s="1"/>
  <c r="J47" i="7"/>
  <c r="D14" i="7"/>
  <c r="C69" i="4"/>
  <c r="J22" i="7"/>
  <c r="Q22" i="7"/>
  <c r="D22" i="7"/>
  <c r="J14" i="7"/>
  <c r="N14" i="7"/>
  <c r="P49" i="7"/>
  <c r="P56" i="7" s="1"/>
  <c r="H49" i="7"/>
  <c r="H56" i="7" s="1"/>
  <c r="D38" i="7"/>
  <c r="I33" i="9"/>
  <c r="E33" i="5" s="1"/>
  <c r="I17" i="9"/>
  <c r="E17" i="5" s="1"/>
  <c r="I8" i="9"/>
  <c r="E8" i="5" s="1"/>
  <c r="H14" i="9"/>
  <c r="D14" i="10"/>
  <c r="F14" i="10" s="1"/>
  <c r="B14" i="5" s="1"/>
  <c r="D28" i="11"/>
  <c r="D58" i="11" s="1"/>
  <c r="H58" i="5" s="1"/>
  <c r="D54" i="12"/>
  <c r="D47" i="12"/>
  <c r="N51" i="13"/>
  <c r="G51" i="5" s="1"/>
  <c r="M47" i="13"/>
  <c r="D38" i="13"/>
  <c r="N12" i="13"/>
  <c r="G12" i="5" s="1"/>
  <c r="M14" i="13"/>
  <c r="V44" i="6"/>
  <c r="V45" i="6" s="1"/>
  <c r="AG21" i="6"/>
  <c r="AE44" i="6"/>
  <c r="AE45" i="6" s="1"/>
  <c r="U13" i="6"/>
  <c r="I18" i="14"/>
  <c r="N65" i="15"/>
  <c r="Y65" i="15" s="1"/>
  <c r="AA65" i="6" s="1"/>
  <c r="D52" i="15"/>
  <c r="J54" i="7"/>
  <c r="Q28" i="7"/>
  <c r="Q58" i="7" s="1"/>
  <c r="N22" i="7"/>
  <c r="Q14" i="7"/>
  <c r="I36" i="9"/>
  <c r="E36" i="5" s="1"/>
  <c r="D28" i="9"/>
  <c r="C30" i="9"/>
  <c r="C31" i="9" s="1"/>
  <c r="I19" i="9"/>
  <c r="E19" i="5" s="1"/>
  <c r="D47" i="10"/>
  <c r="F47" i="10" s="1"/>
  <c r="B47" i="5" s="1"/>
  <c r="G14" i="12"/>
  <c r="D54" i="13"/>
  <c r="G47" i="13"/>
  <c r="J47" i="13"/>
  <c r="D22" i="13"/>
  <c r="K14" i="13"/>
  <c r="N9" i="13"/>
  <c r="G9" i="5" s="1"/>
  <c r="J14" i="13"/>
  <c r="F72" i="6"/>
  <c r="T44" i="6"/>
  <c r="T45" i="6" s="1"/>
  <c r="K13" i="6"/>
  <c r="H70" i="14"/>
  <c r="D59" i="14"/>
  <c r="I46" i="14"/>
  <c r="D47" i="6" s="1"/>
  <c r="G20" i="14"/>
  <c r="U72" i="15"/>
  <c r="M52" i="15"/>
  <c r="F63" i="15"/>
  <c r="F70" i="15" s="1"/>
  <c r="V44" i="15"/>
  <c r="V45" i="15" s="1"/>
  <c r="V72" i="15"/>
  <c r="R44" i="15"/>
  <c r="R45" i="15" s="1"/>
  <c r="R72" i="15"/>
  <c r="K72" i="15"/>
  <c r="K44" i="15"/>
  <c r="K45" i="15" s="1"/>
  <c r="F44" i="15"/>
  <c r="F45" i="15" s="1"/>
  <c r="F72" i="15"/>
  <c r="E43" i="18"/>
  <c r="G20" i="18"/>
  <c r="G30" i="9"/>
  <c r="G31" i="9" s="1"/>
  <c r="V63" i="6"/>
  <c r="V70" i="6" s="1"/>
  <c r="V71" i="6" s="1"/>
  <c r="X61" i="6"/>
  <c r="O44" i="6"/>
  <c r="O45" i="6" s="1"/>
  <c r="Q21" i="6"/>
  <c r="M61" i="15"/>
  <c r="K63" i="15"/>
  <c r="K70" i="15" s="1"/>
  <c r="R41" i="17"/>
  <c r="R71" i="17" s="1"/>
  <c r="Q71" i="17"/>
  <c r="Q43" i="17"/>
  <c r="Q44" i="17" s="1"/>
  <c r="D71" i="17"/>
  <c r="D43" i="17"/>
  <c r="D44" i="17" s="1"/>
  <c r="P43" i="17"/>
  <c r="P44" i="17" s="1"/>
  <c r="R20" i="17"/>
  <c r="H38" i="9"/>
  <c r="D14" i="9"/>
  <c r="D22" i="10"/>
  <c r="G38" i="13"/>
  <c r="N25" i="13"/>
  <c r="G25" i="5" s="1"/>
  <c r="D28" i="13"/>
  <c r="N20" i="13"/>
  <c r="G20" i="5" s="1"/>
  <c r="N19" i="13"/>
  <c r="G19" i="5" s="1"/>
  <c r="N18" i="13"/>
  <c r="G18" i="5" s="1"/>
  <c r="J22" i="13"/>
  <c r="D14" i="13"/>
  <c r="P44" i="6"/>
  <c r="P45" i="6" s="1"/>
  <c r="P72" i="6"/>
  <c r="I65" i="14"/>
  <c r="D67" i="6" s="1"/>
  <c r="I51" i="14"/>
  <c r="D13" i="14"/>
  <c r="W61" i="15"/>
  <c r="V63" i="15"/>
  <c r="V70" i="15" s="1"/>
  <c r="Q13" i="15"/>
  <c r="D20" i="16"/>
  <c r="B28" i="16"/>
  <c r="E61" i="20"/>
  <c r="E68" i="20" s="1"/>
  <c r="G50" i="20"/>
  <c r="B75" i="2"/>
  <c r="D75" i="2" s="1"/>
  <c r="M75" i="2" s="1"/>
  <c r="B77" i="1" s="1"/>
  <c r="AB73" i="3"/>
  <c r="X73" i="3"/>
  <c r="B71" i="2" s="1"/>
  <c r="D71" i="2" s="1"/>
  <c r="M71" i="2" s="1"/>
  <c r="B74" i="1" s="1"/>
  <c r="B87" i="25" s="1"/>
  <c r="T73" i="3"/>
  <c r="B67" i="2" s="1"/>
  <c r="R22" i="3"/>
  <c r="AE22" i="3" s="1"/>
  <c r="AH22" i="3" s="1"/>
  <c r="D22" i="3"/>
  <c r="M64" i="3"/>
  <c r="B30" i="7"/>
  <c r="B31" i="7" s="1"/>
  <c r="I25" i="9"/>
  <c r="E25" i="5" s="1"/>
  <c r="E30" i="9"/>
  <c r="E31" i="9" s="1"/>
  <c r="I11" i="9"/>
  <c r="E11" i="5" s="1"/>
  <c r="C30" i="10"/>
  <c r="C31" i="10" s="1"/>
  <c r="D54" i="11"/>
  <c r="H54" i="5" s="1"/>
  <c r="B30" i="11"/>
  <c r="F49" i="12"/>
  <c r="F56" i="12" s="1"/>
  <c r="C30" i="12"/>
  <c r="C31" i="12" s="1"/>
  <c r="N36" i="13"/>
  <c r="G36" i="5" s="1"/>
  <c r="J38" i="13"/>
  <c r="N26" i="13"/>
  <c r="G26" i="5" s="1"/>
  <c r="J28" i="13"/>
  <c r="J58" i="13" s="1"/>
  <c r="N10" i="13"/>
  <c r="G10" i="5" s="1"/>
  <c r="AD63" i="6"/>
  <c r="AD70" i="6" s="1"/>
  <c r="AD71" i="6" s="1"/>
  <c r="M44" i="6"/>
  <c r="M45" i="6" s="1"/>
  <c r="I44" i="6"/>
  <c r="I45" i="6" s="1"/>
  <c r="H61" i="14"/>
  <c r="H68" i="14" s="1"/>
  <c r="S63" i="15"/>
  <c r="S70" i="15" s="1"/>
  <c r="S71" i="15" s="1"/>
  <c r="N57" i="15"/>
  <c r="Y57" i="15" s="1"/>
  <c r="AA57" i="6" s="1"/>
  <c r="T61" i="15"/>
  <c r="N55" i="15"/>
  <c r="Y55" i="15" s="1"/>
  <c r="AA55" i="6" s="1"/>
  <c r="N47" i="15"/>
  <c r="Y47" i="15" s="1"/>
  <c r="AA47" i="6" s="1"/>
  <c r="D21" i="15"/>
  <c r="H25" i="16"/>
  <c r="R41" i="6" s="1"/>
  <c r="G26" i="16"/>
  <c r="G55" i="16" s="1"/>
  <c r="F60" i="17"/>
  <c r="E62" i="17"/>
  <c r="E69" i="17" s="1"/>
  <c r="E70" i="17" s="1"/>
  <c r="V71" i="17"/>
  <c r="X41" i="17"/>
  <c r="X71" i="17" s="1"/>
  <c r="B62" i="18"/>
  <c r="B69" i="18" s="1"/>
  <c r="B70" i="18" s="1"/>
  <c r="D60" i="18"/>
  <c r="H58" i="18"/>
  <c r="Y59" i="6" s="1"/>
  <c r="R37" i="3"/>
  <c r="AE37" i="3" s="1"/>
  <c r="AH37" i="3" s="1"/>
  <c r="D37" i="3"/>
  <c r="AE28" i="3"/>
  <c r="AH28" i="3" s="1"/>
  <c r="AG42" i="6"/>
  <c r="AG72" i="6" s="1"/>
  <c r="X42" i="6"/>
  <c r="X72" i="6" s="1"/>
  <c r="S44" i="6"/>
  <c r="S45" i="6" s="1"/>
  <c r="Q13" i="6"/>
  <c r="I67" i="14"/>
  <c r="G50" i="14"/>
  <c r="E43" i="14"/>
  <c r="G43" i="14" s="1"/>
  <c r="I15" i="14"/>
  <c r="I10" i="14"/>
  <c r="D10" i="6" s="1"/>
  <c r="B72" i="15"/>
  <c r="N51" i="15"/>
  <c r="Y51" i="15" s="1"/>
  <c r="AA51" i="6" s="1"/>
  <c r="N48" i="15"/>
  <c r="Y48" i="15" s="1"/>
  <c r="AA48" i="6" s="1"/>
  <c r="Q52" i="15"/>
  <c r="X44" i="15"/>
  <c r="X45" i="15" s="1"/>
  <c r="H44" i="15"/>
  <c r="H45" i="15" s="1"/>
  <c r="O51" i="17"/>
  <c r="N62" i="17"/>
  <c r="N69" i="17" s="1"/>
  <c r="N70" i="17" s="1"/>
  <c r="H23" i="18"/>
  <c r="D13" i="18"/>
  <c r="E59" i="19"/>
  <c r="AB61" i="6" s="1"/>
  <c r="B61" i="19"/>
  <c r="R31" i="3"/>
  <c r="AE31" i="3" s="1"/>
  <c r="AH31" i="3" s="1"/>
  <c r="D31" i="3"/>
  <c r="N19" i="15"/>
  <c r="Y19" i="15" s="1"/>
  <c r="T21" i="15"/>
  <c r="J21" i="15"/>
  <c r="N16" i="15"/>
  <c r="Y16" i="15" s="1"/>
  <c r="AA16" i="6" s="1"/>
  <c r="G21" i="15"/>
  <c r="S62" i="17"/>
  <c r="S69" i="17" s="1"/>
  <c r="U51" i="17"/>
  <c r="E41" i="19"/>
  <c r="AB42" i="6" s="1"/>
  <c r="B43" i="19"/>
  <c r="B44" i="19" s="1"/>
  <c r="E43" i="20"/>
  <c r="E70" i="20"/>
  <c r="R26" i="3"/>
  <c r="AE26" i="3" s="1"/>
  <c r="AH26" i="3" s="1"/>
  <c r="D26" i="3"/>
  <c r="B49" i="21"/>
  <c r="B23" i="21"/>
  <c r="N24" i="15"/>
  <c r="Y24" i="15" s="1"/>
  <c r="D13" i="15"/>
  <c r="H39" i="16"/>
  <c r="R56" i="6" s="1"/>
  <c r="H19" i="16"/>
  <c r="R20" i="6" s="1"/>
  <c r="R67" i="17"/>
  <c r="R51" i="17"/>
  <c r="U41" i="17"/>
  <c r="U71" i="17" s="1"/>
  <c r="O20" i="17"/>
  <c r="G43" i="17"/>
  <c r="G44" i="17" s="1"/>
  <c r="F71" i="18"/>
  <c r="H65" i="18"/>
  <c r="Y66" i="6" s="1"/>
  <c r="H59" i="18"/>
  <c r="Y60" i="6" s="1"/>
  <c r="H46" i="18"/>
  <c r="Y47" i="6" s="1"/>
  <c r="G41" i="18"/>
  <c r="G71" i="18" s="1"/>
  <c r="D20" i="18"/>
  <c r="E50" i="19"/>
  <c r="AB52" i="6" s="1"/>
  <c r="B43" i="20"/>
  <c r="G13" i="20"/>
  <c r="AA73" i="3"/>
  <c r="B74" i="2"/>
  <c r="D74" i="2" s="1"/>
  <c r="M74" i="2" s="1"/>
  <c r="W73" i="3"/>
  <c r="B70" i="2" s="1"/>
  <c r="D70" i="2" s="1"/>
  <c r="M70" i="2" s="1"/>
  <c r="B73" i="1" s="1"/>
  <c r="B86" i="25" s="1"/>
  <c r="AE61" i="3"/>
  <c r="AH61" i="3" s="1"/>
  <c r="R60" i="3"/>
  <c r="AE60" i="3" s="1"/>
  <c r="AH60" i="3" s="1"/>
  <c r="AE55" i="3"/>
  <c r="AH55" i="3" s="1"/>
  <c r="AE52" i="3"/>
  <c r="AH52" i="3" s="1"/>
  <c r="AE42" i="3"/>
  <c r="AH42" i="3" s="1"/>
  <c r="AE35" i="3"/>
  <c r="AH35" i="3" s="1"/>
  <c r="AE20" i="3"/>
  <c r="AH20" i="3" s="1"/>
  <c r="AE15" i="3"/>
  <c r="AH15" i="3" s="1"/>
  <c r="D8" i="3"/>
  <c r="D7" i="3"/>
  <c r="Z73" i="3"/>
  <c r="B73" i="2" s="1"/>
  <c r="D73" i="2" s="1"/>
  <c r="M73" i="2" s="1"/>
  <c r="B76" i="1" s="1"/>
  <c r="V73" i="3"/>
  <c r="B69" i="2" s="1"/>
  <c r="D69" i="2" s="1"/>
  <c r="M69" i="2" s="1"/>
  <c r="B72" i="1" s="1"/>
  <c r="B85" i="25" s="1"/>
  <c r="L73" i="3"/>
  <c r="N11" i="15"/>
  <c r="Y11" i="15" s="1"/>
  <c r="AA11" i="6" s="1"/>
  <c r="N9" i="15"/>
  <c r="Y9" i="15" s="1"/>
  <c r="AA9" i="6" s="1"/>
  <c r="T13" i="15"/>
  <c r="J13" i="15"/>
  <c r="H34" i="16"/>
  <c r="R51" i="6" s="1"/>
  <c r="H11" i="16"/>
  <c r="R11" i="6" s="1"/>
  <c r="F41" i="17"/>
  <c r="V43" i="17"/>
  <c r="V44" i="17" s="1"/>
  <c r="I20" i="17"/>
  <c r="R13" i="17"/>
  <c r="H55" i="18"/>
  <c r="Y56" i="6" s="1"/>
  <c r="AI56" i="6" s="1"/>
  <c r="D51" i="18"/>
  <c r="H16" i="18"/>
  <c r="Y16" i="6" s="1"/>
  <c r="H10" i="18"/>
  <c r="Y10" i="6" s="1"/>
  <c r="G41" i="20"/>
  <c r="AG73" i="3"/>
  <c r="B82" i="2" s="1"/>
  <c r="D82" i="2" s="1"/>
  <c r="M82" i="2" s="1"/>
  <c r="B87" i="1" s="1"/>
  <c r="B100" i="25" s="1"/>
  <c r="Y73" i="3"/>
  <c r="B72" i="2" s="1"/>
  <c r="D72" i="2" s="1"/>
  <c r="M72" i="2" s="1"/>
  <c r="B75" i="1" s="1"/>
  <c r="B88" i="25" s="1"/>
  <c r="U73" i="3"/>
  <c r="B68" i="2" s="1"/>
  <c r="D68" i="2" s="1"/>
  <c r="M68" i="2" s="1"/>
  <c r="B71" i="1" s="1"/>
  <c r="B84" i="25" s="1"/>
  <c r="AE63" i="3"/>
  <c r="AH63" i="3" s="1"/>
  <c r="AE58" i="3"/>
  <c r="AH58" i="3" s="1"/>
  <c r="AE49" i="3"/>
  <c r="AH49" i="3" s="1"/>
  <c r="AE40" i="3"/>
  <c r="AH40" i="3" s="1"/>
  <c r="AE33" i="3"/>
  <c r="AH33" i="3" s="1"/>
  <c r="AE27" i="3"/>
  <c r="AH27" i="3" s="1"/>
  <c r="AE18" i="3"/>
  <c r="AH18" i="3" s="1"/>
  <c r="AE13" i="3"/>
  <c r="AH13" i="3" s="1"/>
  <c r="AE9" i="3"/>
  <c r="AH9" i="3" s="1"/>
  <c r="R8" i="3"/>
  <c r="AE8" i="3" s="1"/>
  <c r="AH8" i="3" s="1"/>
  <c r="R7" i="3"/>
  <c r="AE7" i="3" s="1"/>
  <c r="AH7" i="3" s="1"/>
  <c r="AG68" i="6"/>
  <c r="J68" i="15"/>
  <c r="N67" i="15"/>
  <c r="Y67" i="15" s="1"/>
  <c r="AA67" i="6" s="1"/>
  <c r="X67" i="17"/>
  <c r="I67" i="17"/>
  <c r="H50" i="16"/>
  <c r="R67" i="6" s="1"/>
  <c r="N53" i="13"/>
  <c r="G53" i="5" s="1"/>
  <c r="I53" i="9"/>
  <c r="E53" i="5" s="1"/>
  <c r="L49" i="7"/>
  <c r="L56" i="7" s="1"/>
  <c r="N47" i="7"/>
  <c r="D57" i="4"/>
  <c r="D67" i="4" s="1"/>
  <c r="D68" i="4" s="1"/>
  <c r="Q61" i="6"/>
  <c r="G44" i="16"/>
  <c r="K61" i="6"/>
  <c r="I56" i="14"/>
  <c r="D58" i="6" s="1"/>
  <c r="B61" i="14"/>
  <c r="C63" i="6"/>
  <c r="C70" i="6" s="1"/>
  <c r="C71" i="6" s="1"/>
  <c r="J61" i="15"/>
  <c r="H63" i="15"/>
  <c r="H70" i="15" s="1"/>
  <c r="B63" i="15"/>
  <c r="B70" i="15" s="1"/>
  <c r="N59" i="15"/>
  <c r="Y59" i="15" s="1"/>
  <c r="AA59" i="6" s="1"/>
  <c r="D61" i="15"/>
  <c r="X60" i="17"/>
  <c r="I60" i="17"/>
  <c r="D62" i="17"/>
  <c r="D69" i="17" s="1"/>
  <c r="H43" i="16"/>
  <c r="R60" i="6" s="1"/>
  <c r="S63" i="6"/>
  <c r="S70" i="6" s="1"/>
  <c r="S71" i="6" s="1"/>
  <c r="N45" i="13"/>
  <c r="G45" i="5" s="1"/>
  <c r="D47" i="13"/>
  <c r="B49" i="12"/>
  <c r="B56" i="12" s="1"/>
  <c r="B49" i="7"/>
  <c r="B56" i="7" s="1"/>
  <c r="D47" i="11"/>
  <c r="H47" i="5" s="1"/>
  <c r="AC64" i="3"/>
  <c r="AK68" i="3" s="1"/>
  <c r="D67" i="18"/>
  <c r="N66" i="15"/>
  <c r="Y66" i="15" s="1"/>
  <c r="AA66" i="6" s="1"/>
  <c r="D68" i="15"/>
  <c r="M54" i="13"/>
  <c r="D54" i="7"/>
  <c r="X52" i="6"/>
  <c r="W63" i="6"/>
  <c r="W70" i="6" s="1"/>
  <c r="W71" i="6" s="1"/>
  <c r="K52" i="6"/>
  <c r="J63" i="6"/>
  <c r="K87" i="2"/>
  <c r="C87" i="2"/>
  <c r="E78" i="2"/>
  <c r="E85" i="2" s="1"/>
  <c r="E86" i="2" s="1"/>
  <c r="H28" i="5"/>
  <c r="E58" i="8"/>
  <c r="C58" i="8"/>
  <c r="D38" i="8"/>
  <c r="E30" i="8"/>
  <c r="P58" i="7"/>
  <c r="L58" i="7"/>
  <c r="H58" i="7"/>
  <c r="B58" i="7"/>
  <c r="H43" i="9"/>
  <c r="H22" i="9"/>
  <c r="E58" i="10"/>
  <c r="C58" i="10"/>
  <c r="D38" i="10"/>
  <c r="E30" i="10"/>
  <c r="G54" i="12"/>
  <c r="G47" i="12"/>
  <c r="G38" i="12"/>
  <c r="B49" i="13"/>
  <c r="B56" i="13" s="1"/>
  <c r="B57" i="13" s="1"/>
  <c r="N33" i="13"/>
  <c r="G33" i="5" s="1"/>
  <c r="K72" i="6"/>
  <c r="F63" i="6"/>
  <c r="F70" i="6" s="1"/>
  <c r="AG52" i="6"/>
  <c r="AF63" i="6"/>
  <c r="AF70" i="6" s="1"/>
  <c r="AF71" i="6" s="1"/>
  <c r="Q52" i="6"/>
  <c r="P63" i="6"/>
  <c r="P70" i="6" s="1"/>
  <c r="B49" i="9"/>
  <c r="B56" i="9" s="1"/>
  <c r="B57" i="9" s="1"/>
  <c r="N63" i="6"/>
  <c r="N70" i="6" s="1"/>
  <c r="N71" i="6" s="1"/>
  <c r="L63" i="6"/>
  <c r="L70" i="6" s="1"/>
  <c r="L71" i="6" s="1"/>
  <c r="H31" i="16"/>
  <c r="R47" i="6" s="1"/>
  <c r="G35" i="16"/>
  <c r="B63" i="6"/>
  <c r="B70" i="6" s="1"/>
  <c r="B71" i="6" s="1"/>
  <c r="AF44" i="6"/>
  <c r="W44" i="6"/>
  <c r="E70" i="14"/>
  <c r="C70" i="14"/>
  <c r="F61" i="14"/>
  <c r="C43" i="14"/>
  <c r="L63" i="15"/>
  <c r="L70" i="15" s="1"/>
  <c r="L71" i="15" s="1"/>
  <c r="G52" i="15"/>
  <c r="G42" i="15"/>
  <c r="F46" i="16"/>
  <c r="F53" i="16" s="1"/>
  <c r="F54" i="16" s="1"/>
  <c r="B46" i="16"/>
  <c r="D26" i="16"/>
  <c r="C28" i="16"/>
  <c r="M62" i="17"/>
  <c r="M69" i="17" s="1"/>
  <c r="M70" i="17" s="1"/>
  <c r="D47" i="3"/>
  <c r="W62" i="17"/>
  <c r="Q62" i="17"/>
  <c r="H62" i="17"/>
  <c r="T43" i="17"/>
  <c r="T44" i="17" s="1"/>
  <c r="N43" i="17"/>
  <c r="N44" i="17" s="1"/>
  <c r="E43" i="17"/>
  <c r="E44" i="17" s="1"/>
  <c r="C71" i="18"/>
  <c r="F62" i="18"/>
  <c r="C43" i="18"/>
  <c r="G13" i="18"/>
  <c r="B70" i="19"/>
  <c r="F70" i="20"/>
  <c r="B70" i="20"/>
  <c r="F43" i="20"/>
  <c r="R54" i="3"/>
  <c r="AE54" i="3" s="1"/>
  <c r="AH54" i="3" s="1"/>
  <c r="R43" i="3"/>
  <c r="AE43" i="3" s="1"/>
  <c r="AH43" i="3" s="1"/>
  <c r="R39" i="3"/>
  <c r="AE39" i="3" s="1"/>
  <c r="AH39" i="3" s="1"/>
  <c r="R38" i="3"/>
  <c r="AE38" i="3" s="1"/>
  <c r="AH38" i="3" s="1"/>
  <c r="R30" i="3"/>
  <c r="AE30" i="3" s="1"/>
  <c r="AH30" i="3" s="1"/>
  <c r="R23" i="3"/>
  <c r="AE23" i="3" s="1"/>
  <c r="AH23" i="3" s="1"/>
  <c r="R11" i="3"/>
  <c r="AE11" i="3" s="1"/>
  <c r="AH11" i="3" s="1"/>
  <c r="G77" i="1" l="1"/>
  <c r="B90" i="25"/>
  <c r="P10" i="1"/>
  <c r="R10" i="1" s="1"/>
  <c r="G10" i="25"/>
  <c r="R10" i="25" s="1"/>
  <c r="G76" i="1"/>
  <c r="B89" i="25"/>
  <c r="B57" i="12"/>
  <c r="C31" i="8"/>
  <c r="D30" i="8"/>
  <c r="D31" i="8" s="1"/>
  <c r="AI58" i="6"/>
  <c r="F73" i="1" s="1"/>
  <c r="F86" i="25" s="1"/>
  <c r="B31" i="12"/>
  <c r="D30" i="12"/>
  <c r="D31" i="12" s="1"/>
  <c r="O71" i="15"/>
  <c r="Q71" i="15" s="1"/>
  <c r="B31" i="8"/>
  <c r="AI55" i="6"/>
  <c r="F70" i="1" s="1"/>
  <c r="F83" i="25" s="1"/>
  <c r="AI66" i="6"/>
  <c r="F86" i="1" s="1"/>
  <c r="F99" i="25" s="1"/>
  <c r="AI57" i="6"/>
  <c r="F72" i="1" s="1"/>
  <c r="F85" i="25" s="1"/>
  <c r="AI59" i="6"/>
  <c r="F74" i="1" s="1"/>
  <c r="F87" i="25" s="1"/>
  <c r="AI9" i="6"/>
  <c r="F11" i="1" s="1"/>
  <c r="F11" i="25" s="1"/>
  <c r="AI16" i="6"/>
  <c r="AI20" i="6"/>
  <c r="F26" i="1" s="1"/>
  <c r="F36" i="25" s="1"/>
  <c r="AI60" i="6"/>
  <c r="F75" i="1" s="1"/>
  <c r="F88" i="25" s="1"/>
  <c r="AI47" i="6"/>
  <c r="F61" i="1" s="1"/>
  <c r="F74" i="25" s="1"/>
  <c r="AI65" i="6"/>
  <c r="F82" i="1" s="1"/>
  <c r="F95" i="25" s="1"/>
  <c r="AI17" i="6"/>
  <c r="F23" i="1" s="1"/>
  <c r="F28" i="25" s="1"/>
  <c r="AI67" i="6"/>
  <c r="F87" i="1" s="1"/>
  <c r="F100" i="25" s="1"/>
  <c r="AI51" i="6"/>
  <c r="F66" i="1" s="1"/>
  <c r="F79" i="25" s="1"/>
  <c r="AI10" i="6"/>
  <c r="F13" i="1" s="1"/>
  <c r="F13" i="25" s="1"/>
  <c r="AI11" i="6"/>
  <c r="F14" i="1" s="1"/>
  <c r="F14" i="25" s="1"/>
  <c r="Y48" i="6"/>
  <c r="AI48" i="6" s="1"/>
  <c r="F62" i="1" s="1"/>
  <c r="F75" i="25" s="1"/>
  <c r="AI49" i="6"/>
  <c r="F63" i="1" s="1"/>
  <c r="F76" i="25" s="1"/>
  <c r="C45" i="6"/>
  <c r="AI12" i="6"/>
  <c r="F15" i="1" s="1"/>
  <c r="F20" i="25" s="1"/>
  <c r="I66" i="14"/>
  <c r="D68" i="6" s="1"/>
  <c r="K28" i="12"/>
  <c r="F28" i="5" s="1"/>
  <c r="Q72" i="6"/>
  <c r="R38" i="7"/>
  <c r="D38" i="5" s="1"/>
  <c r="B82" i="1"/>
  <c r="B95" i="25" s="1"/>
  <c r="D80" i="2"/>
  <c r="M80" i="2" s="1"/>
  <c r="B58" i="2"/>
  <c r="B56" i="2"/>
  <c r="N77" i="3"/>
  <c r="B63" i="2"/>
  <c r="Y67" i="17"/>
  <c r="Z68" i="6" s="1"/>
  <c r="Y60" i="17"/>
  <c r="Z61" i="6" s="1"/>
  <c r="Y51" i="17"/>
  <c r="Z52" i="6" s="1"/>
  <c r="D58" i="13"/>
  <c r="N58" i="13" s="1"/>
  <c r="G58" i="5" s="1"/>
  <c r="D30" i="13"/>
  <c r="O71" i="17"/>
  <c r="Y41" i="17"/>
  <c r="Y71" i="17" s="1"/>
  <c r="D44" i="15"/>
  <c r="D45" i="15" s="1"/>
  <c r="Y20" i="17"/>
  <c r="Y13" i="17"/>
  <c r="Z13" i="6" s="1"/>
  <c r="H69" i="4"/>
  <c r="E27" i="5"/>
  <c r="D49" i="1"/>
  <c r="D61" i="25" s="1"/>
  <c r="K22" i="12"/>
  <c r="F22" i="5" s="1"/>
  <c r="D72" i="15"/>
  <c r="N42" i="15"/>
  <c r="R54" i="7"/>
  <c r="D54" i="5" s="1"/>
  <c r="K14" i="12"/>
  <c r="F14" i="5" s="1"/>
  <c r="K47" i="12"/>
  <c r="F47" i="5" s="1"/>
  <c r="K38" i="12"/>
  <c r="F38" i="5" s="1"/>
  <c r="H71" i="15"/>
  <c r="J71" i="15" s="1"/>
  <c r="K54" i="12"/>
  <c r="F54" i="5" s="1"/>
  <c r="R22" i="7"/>
  <c r="D22" i="5" s="1"/>
  <c r="R14" i="7"/>
  <c r="D14" i="5" s="1"/>
  <c r="D58" i="7"/>
  <c r="R47" i="7"/>
  <c r="D47" i="5" s="1"/>
  <c r="Y41" i="15"/>
  <c r="Y36" i="15"/>
  <c r="O71" i="6"/>
  <c r="F75" i="3"/>
  <c r="J63" i="15"/>
  <c r="J70" i="15" s="1"/>
  <c r="J76" i="3"/>
  <c r="H44" i="16"/>
  <c r="I41" i="14"/>
  <c r="D42" i="6" s="1"/>
  <c r="F71" i="1"/>
  <c r="F84" i="25" s="1"/>
  <c r="B48" i="21"/>
  <c r="D61" i="6"/>
  <c r="G30" i="12"/>
  <c r="G31" i="12" s="1"/>
  <c r="N49" i="7"/>
  <c r="N56" i="7" s="1"/>
  <c r="D28" i="16"/>
  <c r="P57" i="7"/>
  <c r="D63" i="15"/>
  <c r="D70" i="15" s="1"/>
  <c r="H51" i="16"/>
  <c r="R68" i="6" s="1"/>
  <c r="D15" i="2"/>
  <c r="B54" i="2"/>
  <c r="D50" i="6"/>
  <c r="D52" i="6" s="1"/>
  <c r="B11" i="1"/>
  <c r="B11" i="25" s="1"/>
  <c r="J46" i="5"/>
  <c r="D75" i="1" s="1"/>
  <c r="D88" i="25" s="1"/>
  <c r="K31" i="13"/>
  <c r="I38" i="9"/>
  <c r="E38" i="5" s="1"/>
  <c r="B71" i="15"/>
  <c r="I59" i="14"/>
  <c r="D30" i="9"/>
  <c r="D31" i="9" s="1"/>
  <c r="N38" i="13"/>
  <c r="G38" i="5" s="1"/>
  <c r="J26" i="5"/>
  <c r="D52" i="1" s="1"/>
  <c r="J18" i="5"/>
  <c r="D23" i="1" s="1"/>
  <c r="D28" i="25" s="1"/>
  <c r="J20" i="5"/>
  <c r="D25" i="1" s="1"/>
  <c r="D30" i="25" s="1"/>
  <c r="U63" i="6"/>
  <c r="U70" i="6" s="1"/>
  <c r="U71" i="6" s="1"/>
  <c r="I50" i="14"/>
  <c r="G43" i="20"/>
  <c r="H43" i="20" s="1"/>
  <c r="AH44" i="6" s="1"/>
  <c r="D49" i="7"/>
  <c r="B67" i="4"/>
  <c r="H57" i="4"/>
  <c r="H13" i="16"/>
  <c r="R13" i="6" s="1"/>
  <c r="E71" i="15"/>
  <c r="J21" i="5"/>
  <c r="D26" i="1" s="1"/>
  <c r="D36" i="25" s="1"/>
  <c r="K44" i="6"/>
  <c r="K45" i="6" s="1"/>
  <c r="I54" i="9"/>
  <c r="E54" i="5" s="1"/>
  <c r="F57" i="12"/>
  <c r="J25" i="5"/>
  <c r="D37" i="1" s="1"/>
  <c r="D48" i="25" s="1"/>
  <c r="G61" i="20"/>
  <c r="F71" i="6"/>
  <c r="D61" i="14"/>
  <c r="AC73" i="3"/>
  <c r="T44" i="15"/>
  <c r="T45" i="15" s="1"/>
  <c r="J49" i="13"/>
  <c r="J56" i="13" s="1"/>
  <c r="J57" i="13" s="1"/>
  <c r="Q30" i="7"/>
  <c r="Q31" i="7" s="1"/>
  <c r="M30" i="13"/>
  <c r="M31" i="13" s="1"/>
  <c r="J51" i="5"/>
  <c r="D82" i="1" s="1"/>
  <c r="D95" i="25" s="1"/>
  <c r="H67" i="18"/>
  <c r="Y68" i="6" s="1"/>
  <c r="Q63" i="15"/>
  <c r="Q70" i="15" s="1"/>
  <c r="Q49" i="7"/>
  <c r="Q56" i="7" s="1"/>
  <c r="Q57" i="7" s="1"/>
  <c r="F28" i="8"/>
  <c r="C28" i="5" s="1"/>
  <c r="C57" i="8"/>
  <c r="W44" i="15"/>
  <c r="W45" i="15" s="1"/>
  <c r="C57" i="10"/>
  <c r="F28" i="10"/>
  <c r="B28" i="5" s="1"/>
  <c r="I43" i="17"/>
  <c r="I44" i="17" s="1"/>
  <c r="U44" i="6"/>
  <c r="U45" i="6" s="1"/>
  <c r="N14" i="13"/>
  <c r="G14" i="5" s="1"/>
  <c r="I20" i="14"/>
  <c r="D21" i="6" s="1"/>
  <c r="B54" i="1"/>
  <c r="B67" i="25" s="1"/>
  <c r="D69" i="19"/>
  <c r="T63" i="15"/>
  <c r="T70" i="15" s="1"/>
  <c r="W63" i="15"/>
  <c r="W70" i="15" s="1"/>
  <c r="J8" i="5"/>
  <c r="D8" i="1" s="1"/>
  <c r="D8" i="25" s="1"/>
  <c r="J37" i="5"/>
  <c r="D66" i="1" s="1"/>
  <c r="D79" i="25" s="1"/>
  <c r="Q44" i="15"/>
  <c r="Q45" i="15" s="1"/>
  <c r="H51" i="18"/>
  <c r="Y52" i="6" s="1"/>
  <c r="M49" i="13"/>
  <c r="M56" i="13" s="1"/>
  <c r="M57" i="13" s="1"/>
  <c r="D43" i="18"/>
  <c r="O43" i="17"/>
  <c r="O44" i="17" s="1"/>
  <c r="M44" i="15"/>
  <c r="M45" i="15" s="1"/>
  <c r="X43" i="17"/>
  <c r="E61" i="19"/>
  <c r="AB63" i="6" s="1"/>
  <c r="I13" i="14"/>
  <c r="D13" i="6" s="1"/>
  <c r="J30" i="7"/>
  <c r="J31" i="7" s="1"/>
  <c r="C68" i="4"/>
  <c r="H41" i="18"/>
  <c r="Y42" i="6" s="1"/>
  <c r="G28" i="16"/>
  <c r="K57" i="7"/>
  <c r="J44" i="5"/>
  <c r="D73" i="1" s="1"/>
  <c r="D86" i="25" s="1"/>
  <c r="J34" i="5"/>
  <c r="D62" i="1" s="1"/>
  <c r="D75" i="25" s="1"/>
  <c r="J41" i="5"/>
  <c r="D70" i="1" s="1"/>
  <c r="D83" i="25" s="1"/>
  <c r="J19" i="5"/>
  <c r="D24" i="1" s="1"/>
  <c r="D29" i="25" s="1"/>
  <c r="J42" i="5"/>
  <c r="D71" i="1" s="1"/>
  <c r="D84" i="25" s="1"/>
  <c r="E67" i="4"/>
  <c r="E68" i="4" s="1"/>
  <c r="G57" i="4"/>
  <c r="G67" i="4" s="1"/>
  <c r="J49" i="7"/>
  <c r="J56" i="7" s="1"/>
  <c r="J57" i="7" s="1"/>
  <c r="D62" i="2"/>
  <c r="M62" i="2" s="1"/>
  <c r="G65" i="1" s="1"/>
  <c r="Q73" i="3"/>
  <c r="B57" i="2" s="1"/>
  <c r="B60" i="1" s="1"/>
  <c r="B73" i="25" s="1"/>
  <c r="B68" i="19"/>
  <c r="E68" i="19" s="1"/>
  <c r="AB70" i="6" s="1"/>
  <c r="U43" i="17"/>
  <c r="U44" i="17" s="1"/>
  <c r="F62" i="17"/>
  <c r="B68" i="14"/>
  <c r="D68" i="14" s="1"/>
  <c r="J53" i="5"/>
  <c r="D87" i="1" s="1"/>
  <c r="D100" i="25" s="1"/>
  <c r="H20" i="18"/>
  <c r="Y21" i="6" s="1"/>
  <c r="J44" i="15"/>
  <c r="J45" i="15" s="1"/>
  <c r="H60" i="18"/>
  <c r="Y61" i="6" s="1"/>
  <c r="V70" i="17"/>
  <c r="Q44" i="6"/>
  <c r="Q45" i="6" s="1"/>
  <c r="J17" i="5"/>
  <c r="D22" i="1" s="1"/>
  <c r="D27" i="25" s="1"/>
  <c r="E43" i="19"/>
  <c r="AB44" i="6" s="1"/>
  <c r="AB45" i="6" s="1"/>
  <c r="R21" i="6"/>
  <c r="N13" i="15"/>
  <c r="Y13" i="15" s="1"/>
  <c r="D49" i="9"/>
  <c r="D56" i="9" s="1"/>
  <c r="D49" i="12"/>
  <c r="C70" i="18"/>
  <c r="D64" i="3"/>
  <c r="J12" i="5"/>
  <c r="D14" i="1" s="1"/>
  <c r="D14" i="25" s="1"/>
  <c r="C48" i="21"/>
  <c r="G21" i="4"/>
  <c r="H59" i="20"/>
  <c r="AH61" i="6" s="1"/>
  <c r="H13" i="20"/>
  <c r="AH13" i="6" s="1"/>
  <c r="H32" i="4"/>
  <c r="G69" i="4"/>
  <c r="F43" i="17"/>
  <c r="F44" i="17" s="1"/>
  <c r="H13" i="18"/>
  <c r="Y13" i="6" s="1"/>
  <c r="D43" i="14"/>
  <c r="I43" i="14" s="1"/>
  <c r="D44" i="6" s="1"/>
  <c r="N28" i="13"/>
  <c r="G28" i="5" s="1"/>
  <c r="J45" i="5"/>
  <c r="D74" i="1" s="1"/>
  <c r="D87" i="25" s="1"/>
  <c r="N21" i="15"/>
  <c r="Y21" i="15" s="1"/>
  <c r="AA21" i="6" s="1"/>
  <c r="AH19" i="6"/>
  <c r="H20" i="16"/>
  <c r="J30" i="13"/>
  <c r="J31" i="13" s="1"/>
  <c r="G43" i="18"/>
  <c r="J36" i="5"/>
  <c r="D64" i="1" s="1"/>
  <c r="D77" i="25" s="1"/>
  <c r="H41" i="20"/>
  <c r="AH42" i="6" s="1"/>
  <c r="D61" i="20"/>
  <c r="H50" i="20"/>
  <c r="AH52" i="6" s="1"/>
  <c r="H30" i="5"/>
  <c r="H31" i="5" s="1"/>
  <c r="C86" i="2"/>
  <c r="F22" i="8"/>
  <c r="C22" i="5" s="1"/>
  <c r="O62" i="17"/>
  <c r="O69" i="17" s="1"/>
  <c r="D62" i="18"/>
  <c r="D69" i="18" s="1"/>
  <c r="S70" i="17"/>
  <c r="F71" i="17"/>
  <c r="W72" i="15"/>
  <c r="Q70" i="6"/>
  <c r="N61" i="15"/>
  <c r="Y61" i="15" s="1"/>
  <c r="AA61" i="6" s="1"/>
  <c r="H30" i="9"/>
  <c r="H31" i="9" s="1"/>
  <c r="K86" i="2"/>
  <c r="N22" i="13"/>
  <c r="G22" i="5" s="1"/>
  <c r="D58" i="12"/>
  <c r="E32" i="12"/>
  <c r="N68" i="15"/>
  <c r="Y68" i="15" s="1"/>
  <c r="AA68" i="6" s="1"/>
  <c r="J52" i="5"/>
  <c r="D86" i="1" s="1"/>
  <c r="D99" i="25" s="1"/>
  <c r="R61" i="6"/>
  <c r="Y8" i="15"/>
  <c r="AA8" i="6" s="1"/>
  <c r="AI8" i="6" s="1"/>
  <c r="J9" i="5"/>
  <c r="D9" i="1" s="1"/>
  <c r="D9" i="25" s="1"/>
  <c r="I14" i="9"/>
  <c r="E14" i="5" s="1"/>
  <c r="R43" i="17"/>
  <c r="R44" i="17" s="1"/>
  <c r="D70" i="17"/>
  <c r="R64" i="3"/>
  <c r="AK67" i="3" s="1"/>
  <c r="U62" i="17"/>
  <c r="U69" i="17" s="1"/>
  <c r="U70" i="17" s="1"/>
  <c r="H57" i="7"/>
  <c r="D49" i="11"/>
  <c r="D56" i="11" s="1"/>
  <c r="D49" i="13"/>
  <c r="D56" i="13" s="1"/>
  <c r="R71" i="15"/>
  <c r="T71" i="15" s="1"/>
  <c r="J13" i="5"/>
  <c r="D15" i="1" s="1"/>
  <c r="D20" i="25" s="1"/>
  <c r="G49" i="13"/>
  <c r="G56" i="13" s="1"/>
  <c r="G57" i="13" s="1"/>
  <c r="U71" i="15"/>
  <c r="G30" i="13"/>
  <c r="G31" i="13" s="1"/>
  <c r="J33" i="5"/>
  <c r="D61" i="1" s="1"/>
  <c r="D74" i="25" s="1"/>
  <c r="J10" i="5"/>
  <c r="D11" i="1" s="1"/>
  <c r="D11" i="25" s="1"/>
  <c r="J11" i="5"/>
  <c r="D13" i="1" s="1"/>
  <c r="D13" i="25" s="1"/>
  <c r="F71" i="15"/>
  <c r="D30" i="7"/>
  <c r="L57" i="7"/>
  <c r="N47" i="13"/>
  <c r="M73" i="3"/>
  <c r="B59" i="2" s="1"/>
  <c r="B62" i="1" s="1"/>
  <c r="B75" i="25" s="1"/>
  <c r="B76" i="2"/>
  <c r="D76" i="2" s="1"/>
  <c r="M76" i="2" s="1"/>
  <c r="D67" i="2"/>
  <c r="M67" i="2" s="1"/>
  <c r="M63" i="15"/>
  <c r="M70" i="15" s="1"/>
  <c r="V71" i="15"/>
  <c r="D18" i="6"/>
  <c r="AI18" i="6" s="1"/>
  <c r="D19" i="6"/>
  <c r="D30" i="11"/>
  <c r="B83" i="2"/>
  <c r="D83" i="2" s="1"/>
  <c r="M83" i="2" s="1"/>
  <c r="B88" i="1" s="1"/>
  <c r="B101" i="25" s="1"/>
  <c r="D81" i="2"/>
  <c r="M81" i="2" s="1"/>
  <c r="B86" i="1" s="1"/>
  <c r="B99" i="25" s="1"/>
  <c r="F22" i="10"/>
  <c r="B22" i="5" s="1"/>
  <c r="D30" i="10"/>
  <c r="D31" i="10" s="1"/>
  <c r="K71" i="15"/>
  <c r="M71" i="15" s="1"/>
  <c r="H69" i="14"/>
  <c r="I28" i="9"/>
  <c r="E28" i="5" s="1"/>
  <c r="D58" i="9"/>
  <c r="I58" i="9" s="1"/>
  <c r="E58" i="5" s="1"/>
  <c r="AE64" i="3"/>
  <c r="N54" i="13"/>
  <c r="G54" i="5" s="1"/>
  <c r="AH64" i="3"/>
  <c r="B57" i="7"/>
  <c r="B69" i="20"/>
  <c r="F69" i="18"/>
  <c r="F70" i="18" s="1"/>
  <c r="G62" i="18"/>
  <c r="G69" i="18" s="1"/>
  <c r="G70" i="18" s="1"/>
  <c r="Q69" i="17"/>
  <c r="Q70" i="17" s="1"/>
  <c r="R62" i="17"/>
  <c r="R69" i="17" s="1"/>
  <c r="R70" i="17" s="1"/>
  <c r="H26" i="16"/>
  <c r="R42" i="6" s="1"/>
  <c r="D55" i="16"/>
  <c r="G44" i="15"/>
  <c r="G45" i="15" s="1"/>
  <c r="G72" i="15"/>
  <c r="G61" i="14"/>
  <c r="F68" i="14"/>
  <c r="E69" i="14"/>
  <c r="G70" i="14"/>
  <c r="X44" i="6"/>
  <c r="X45" i="6" s="1"/>
  <c r="W45" i="6"/>
  <c r="G49" i="12"/>
  <c r="F38" i="10"/>
  <c r="B38" i="5" s="1"/>
  <c r="D49" i="10"/>
  <c r="F58" i="10"/>
  <c r="B58" i="5" s="1"/>
  <c r="E57" i="10"/>
  <c r="I43" i="9"/>
  <c r="E43" i="5" s="1"/>
  <c r="J43" i="5" s="1"/>
  <c r="D72" i="1" s="1"/>
  <c r="D85" i="25" s="1"/>
  <c r="H47" i="9"/>
  <c r="F14" i="8"/>
  <c r="F38" i="8"/>
  <c r="C38" i="5" s="1"/>
  <c r="D49" i="8"/>
  <c r="F58" i="8"/>
  <c r="C58" i="5" s="1"/>
  <c r="E57" i="8"/>
  <c r="K63" i="6"/>
  <c r="J70" i="6"/>
  <c r="Q63" i="6"/>
  <c r="AG63" i="6"/>
  <c r="AG70" i="6" s="1"/>
  <c r="AG71" i="6" s="1"/>
  <c r="P71" i="6"/>
  <c r="F69" i="20"/>
  <c r="G70" i="20"/>
  <c r="H70" i="20" s="1"/>
  <c r="E70" i="19"/>
  <c r="AB72" i="6" s="1"/>
  <c r="I62" i="17"/>
  <c r="H69" i="17"/>
  <c r="H70" i="17" s="1"/>
  <c r="W69" i="17"/>
  <c r="W70" i="17" s="1"/>
  <c r="X62" i="17"/>
  <c r="X69" i="17" s="1"/>
  <c r="X70" i="17" s="1"/>
  <c r="E69" i="20"/>
  <c r="G68" i="20"/>
  <c r="H71" i="18"/>
  <c r="Y72" i="6" s="1"/>
  <c r="D46" i="16"/>
  <c r="D53" i="16" s="1"/>
  <c r="B53" i="16"/>
  <c r="B54" i="16" s="1"/>
  <c r="N52" i="15"/>
  <c r="Y52" i="15" s="1"/>
  <c r="AA52" i="6" s="1"/>
  <c r="G63" i="15"/>
  <c r="C69" i="14"/>
  <c r="D70" i="14"/>
  <c r="AG44" i="6"/>
  <c r="AG45" i="6" s="1"/>
  <c r="AF45" i="6"/>
  <c r="H35" i="16"/>
  <c r="R52" i="6" s="1"/>
  <c r="G46" i="16"/>
  <c r="E31" i="10"/>
  <c r="E31" i="8"/>
  <c r="D87" i="2"/>
  <c r="M87" i="2" s="1"/>
  <c r="B92" i="1" s="1"/>
  <c r="B105" i="25" s="1"/>
  <c r="X63" i="6"/>
  <c r="X70" i="6" s="1"/>
  <c r="X71" i="6" s="1"/>
  <c r="I22" i="9"/>
  <c r="E22" i="5" s="1"/>
  <c r="AI19" i="6" l="1"/>
  <c r="G52" i="1"/>
  <c r="G65" i="25" s="1"/>
  <c r="R65" i="25" s="1"/>
  <c r="D65" i="25"/>
  <c r="P65" i="1"/>
  <c r="R65" i="1" s="1"/>
  <c r="G78" i="25"/>
  <c r="R78" i="25" s="1"/>
  <c r="P76" i="1"/>
  <c r="R76" i="1" s="1"/>
  <c r="G89" i="25"/>
  <c r="R89" i="25" s="1"/>
  <c r="P77" i="1"/>
  <c r="R77" i="1" s="1"/>
  <c r="G90" i="25"/>
  <c r="R90" i="25" s="1"/>
  <c r="F30" i="8"/>
  <c r="C30" i="5" s="1"/>
  <c r="AI50" i="6"/>
  <c r="F64" i="1" s="1"/>
  <c r="F8" i="1"/>
  <c r="AI61" i="6"/>
  <c r="F78" i="1" s="1"/>
  <c r="F91" i="25" s="1"/>
  <c r="AI68" i="6"/>
  <c r="F88" i="1" s="1"/>
  <c r="F101" i="25" s="1"/>
  <c r="AI52" i="6"/>
  <c r="F67" i="1" s="1"/>
  <c r="F80" i="25" s="1"/>
  <c r="C92" i="1"/>
  <c r="C105" i="25" s="1"/>
  <c r="B59" i="1"/>
  <c r="D56" i="2"/>
  <c r="M56" i="2" s="1"/>
  <c r="D57" i="2"/>
  <c r="M57" i="2" s="1"/>
  <c r="G60" i="1" s="1"/>
  <c r="D73" i="3"/>
  <c r="B61" i="1"/>
  <c r="D58" i="2"/>
  <c r="M58" i="2" s="1"/>
  <c r="D63" i="2"/>
  <c r="M63" i="2" s="1"/>
  <c r="B66" i="1" s="1"/>
  <c r="B79" i="25" s="1"/>
  <c r="F22" i="1"/>
  <c r="Z21" i="6"/>
  <c r="AI21" i="6" s="1"/>
  <c r="Y43" i="17"/>
  <c r="Y62" i="17"/>
  <c r="Y69" i="17" s="1"/>
  <c r="Y70" i="17" s="1"/>
  <c r="D57" i="13"/>
  <c r="N57" i="13" s="1"/>
  <c r="G57" i="5" s="1"/>
  <c r="G49" i="1"/>
  <c r="Z42" i="6"/>
  <c r="O70" i="17"/>
  <c r="N72" i="15"/>
  <c r="Y72" i="15" s="1"/>
  <c r="AA72" i="6" s="1"/>
  <c r="X44" i="17"/>
  <c r="Q71" i="6"/>
  <c r="D71" i="15"/>
  <c r="AA36" i="6"/>
  <c r="D56" i="12"/>
  <c r="K49" i="12"/>
  <c r="F49" i="5" s="1"/>
  <c r="K58" i="12"/>
  <c r="F58" i="5" s="1"/>
  <c r="AA41" i="6"/>
  <c r="K30" i="12"/>
  <c r="K31" i="12" s="1"/>
  <c r="D56" i="7"/>
  <c r="R56" i="7" s="1"/>
  <c r="R49" i="7"/>
  <c r="D49" i="5" s="1"/>
  <c r="G75" i="1"/>
  <c r="Y42" i="15"/>
  <c r="AA42" i="6" s="1"/>
  <c r="G35" i="1"/>
  <c r="H21" i="4"/>
  <c r="G34" i="4"/>
  <c r="G35" i="4" s="1"/>
  <c r="D45" i="6"/>
  <c r="G71" i="1"/>
  <c r="B70" i="1"/>
  <c r="B83" i="25" s="1"/>
  <c r="R73" i="3"/>
  <c r="AE73" i="3" s="1"/>
  <c r="AH73" i="3" s="1"/>
  <c r="D59" i="2"/>
  <c r="M59" i="2" s="1"/>
  <c r="G62" i="1" s="1"/>
  <c r="H28" i="16"/>
  <c r="R44" i="6" s="1"/>
  <c r="R45" i="6" s="1"/>
  <c r="M15" i="2"/>
  <c r="H43" i="18"/>
  <c r="Y44" i="6" s="1"/>
  <c r="I61" i="14"/>
  <c r="D63" i="6" s="1"/>
  <c r="G71" i="15"/>
  <c r="F69" i="17"/>
  <c r="F70" i="17" s="1"/>
  <c r="F25" i="1"/>
  <c r="Z72" i="6"/>
  <c r="G9" i="1"/>
  <c r="G73" i="1"/>
  <c r="F24" i="1"/>
  <c r="G26" i="1"/>
  <c r="H49" i="5"/>
  <c r="G23" i="1"/>
  <c r="G69" i="20"/>
  <c r="B68" i="4"/>
  <c r="H68" i="4" s="1"/>
  <c r="H67" i="4"/>
  <c r="C90" i="1" s="1"/>
  <c r="C103" i="25" s="1"/>
  <c r="G63" i="1"/>
  <c r="W71" i="15"/>
  <c r="X71" i="15" s="1"/>
  <c r="E44" i="19"/>
  <c r="G74" i="1"/>
  <c r="G82" i="1"/>
  <c r="G95" i="25" s="1"/>
  <c r="R95" i="25" s="1"/>
  <c r="S95" i="25" s="1"/>
  <c r="J38" i="5"/>
  <c r="D67" i="1" s="1"/>
  <c r="D80" i="25" s="1"/>
  <c r="F30" i="10"/>
  <c r="B30" i="5" s="1"/>
  <c r="G11" i="1"/>
  <c r="B69" i="19"/>
  <c r="E69" i="19" s="1"/>
  <c r="AB71" i="6" s="1"/>
  <c r="J54" i="5"/>
  <c r="D88" i="1" s="1"/>
  <c r="D101" i="25" s="1"/>
  <c r="B69" i="14"/>
  <c r="D69" i="14" s="1"/>
  <c r="G15" i="1"/>
  <c r="G14" i="1"/>
  <c r="G13" i="1"/>
  <c r="G87" i="1"/>
  <c r="AH72" i="6"/>
  <c r="N44" i="15"/>
  <c r="Y44" i="15" s="1"/>
  <c r="AA44" i="6" s="1"/>
  <c r="G72" i="1"/>
  <c r="H61" i="20"/>
  <c r="AH63" i="6" s="1"/>
  <c r="D68" i="20"/>
  <c r="G68" i="4"/>
  <c r="AH45" i="6"/>
  <c r="E35" i="4"/>
  <c r="C80" i="1"/>
  <c r="C93" i="25" s="1"/>
  <c r="G86" i="1"/>
  <c r="N30" i="13"/>
  <c r="D31" i="13"/>
  <c r="H69" i="18"/>
  <c r="Y70" i="6" s="1"/>
  <c r="N56" i="13"/>
  <c r="G56" i="5" s="1"/>
  <c r="H62" i="18"/>
  <c r="Y63" i="6" s="1"/>
  <c r="I30" i="9"/>
  <c r="E30" i="5" s="1"/>
  <c r="E31" i="5" s="1"/>
  <c r="D31" i="7"/>
  <c r="G47" i="5"/>
  <c r="N49" i="13"/>
  <c r="G49" i="5" s="1"/>
  <c r="J22" i="5"/>
  <c r="D27" i="1" s="1"/>
  <c r="D37" i="25" s="1"/>
  <c r="I70" i="14"/>
  <c r="D72" i="6" s="1"/>
  <c r="D70" i="18"/>
  <c r="H70" i="18" s="1"/>
  <c r="Y71" i="6" s="1"/>
  <c r="H46" i="16"/>
  <c r="R63" i="6" s="1"/>
  <c r="G53" i="16"/>
  <c r="N63" i="15"/>
  <c r="Y63" i="15" s="1"/>
  <c r="AA63" i="6" s="1"/>
  <c r="G70" i="15"/>
  <c r="N70" i="15" s="1"/>
  <c r="Y70" i="15" s="1"/>
  <c r="AA70" i="6" s="1"/>
  <c r="J71" i="6"/>
  <c r="K71" i="6" s="1"/>
  <c r="K70" i="6"/>
  <c r="F49" i="8"/>
  <c r="C49" i="5" s="1"/>
  <c r="D56" i="8"/>
  <c r="H49" i="9"/>
  <c r="I47" i="9"/>
  <c r="E47" i="5" s="1"/>
  <c r="F49" i="10"/>
  <c r="B49" i="5" s="1"/>
  <c r="D56" i="10"/>
  <c r="G56" i="12"/>
  <c r="F69" i="14"/>
  <c r="G69" i="14" s="1"/>
  <c r="G68" i="14"/>
  <c r="I68" i="14" s="1"/>
  <c r="D70" i="6" s="1"/>
  <c r="AA13" i="6"/>
  <c r="AI13" i="6" s="1"/>
  <c r="I69" i="17"/>
  <c r="H56" i="5"/>
  <c r="D57" i="11"/>
  <c r="H57" i="5" s="1"/>
  <c r="C14" i="5"/>
  <c r="D54" i="16"/>
  <c r="H55" i="16"/>
  <c r="R72" i="6" s="1"/>
  <c r="D57" i="9"/>
  <c r="P49" i="1" l="1"/>
  <c r="R49" i="1" s="1"/>
  <c r="G61" i="25"/>
  <c r="R61" i="25" s="1"/>
  <c r="T60" i="25" s="1"/>
  <c r="G61" i="1"/>
  <c r="B74" i="25"/>
  <c r="G59" i="1"/>
  <c r="B72" i="25"/>
  <c r="P72" i="1"/>
  <c r="R72" i="1" s="1"/>
  <c r="G85" i="25"/>
  <c r="R85" i="25" s="1"/>
  <c r="P13" i="1"/>
  <c r="R13" i="1" s="1"/>
  <c r="G13" i="25"/>
  <c r="R13" i="25" s="1"/>
  <c r="G24" i="1"/>
  <c r="F29" i="25"/>
  <c r="G25" i="1"/>
  <c r="F30" i="25"/>
  <c r="P75" i="1"/>
  <c r="R75" i="1" s="1"/>
  <c r="G88" i="25"/>
  <c r="R88" i="25" s="1"/>
  <c r="G22" i="1"/>
  <c r="G27" i="25" s="1"/>
  <c r="R27" i="25" s="1"/>
  <c r="F27" i="25"/>
  <c r="G8" i="1"/>
  <c r="F8" i="25"/>
  <c r="P26" i="1"/>
  <c r="R26" i="1" s="1"/>
  <c r="G36" i="25"/>
  <c r="R36" i="25" s="1"/>
  <c r="P62" i="1"/>
  <c r="R62" i="1" s="1"/>
  <c r="G75" i="25"/>
  <c r="R75" i="25" s="1"/>
  <c r="P86" i="1"/>
  <c r="R86" i="1" s="1"/>
  <c r="G99" i="25"/>
  <c r="R99" i="25" s="1"/>
  <c r="P14" i="1"/>
  <c r="R14" i="1" s="1"/>
  <c r="G14" i="25"/>
  <c r="R14" i="25" s="1"/>
  <c r="P63" i="1"/>
  <c r="R63" i="1" s="1"/>
  <c r="G76" i="25"/>
  <c r="R76" i="25" s="1"/>
  <c r="P23" i="1"/>
  <c r="R23" i="1" s="1"/>
  <c r="G28" i="25"/>
  <c r="R28" i="25" s="1"/>
  <c r="P73" i="1"/>
  <c r="R73" i="1" s="1"/>
  <c r="G86" i="25"/>
  <c r="R86" i="25" s="1"/>
  <c r="P60" i="1"/>
  <c r="R60" i="1" s="1"/>
  <c r="G73" i="25"/>
  <c r="R73" i="25" s="1"/>
  <c r="G64" i="1"/>
  <c r="F77" i="25"/>
  <c r="P15" i="1"/>
  <c r="R15" i="1" s="1"/>
  <c r="G20" i="25"/>
  <c r="R20" i="25" s="1"/>
  <c r="P11" i="1"/>
  <c r="R11" i="1" s="1"/>
  <c r="G11" i="25"/>
  <c r="R11" i="25" s="1"/>
  <c r="P74" i="1"/>
  <c r="R74" i="1" s="1"/>
  <c r="G87" i="25"/>
  <c r="R87" i="25" s="1"/>
  <c r="P9" i="1"/>
  <c r="R9" i="1" s="1"/>
  <c r="G9" i="25"/>
  <c r="R9" i="25" s="1"/>
  <c r="P71" i="1"/>
  <c r="R71" i="1" s="1"/>
  <c r="G84" i="25"/>
  <c r="R84" i="25" s="1"/>
  <c r="P35" i="1"/>
  <c r="R35" i="1" s="1"/>
  <c r="G46" i="25"/>
  <c r="R46" i="25" s="1"/>
  <c r="P87" i="1"/>
  <c r="R87" i="1" s="1"/>
  <c r="G100" i="25"/>
  <c r="R100" i="25" s="1"/>
  <c r="F31" i="8"/>
  <c r="AI41" i="6"/>
  <c r="F53" i="1" s="1"/>
  <c r="AI36" i="6"/>
  <c r="F47" i="1" s="1"/>
  <c r="F59" i="25" s="1"/>
  <c r="AI42" i="6"/>
  <c r="AI72" i="6"/>
  <c r="F92" i="1" s="1"/>
  <c r="F105" i="25" s="1"/>
  <c r="Y45" i="6"/>
  <c r="B67" i="1"/>
  <c r="B80" i="25" s="1"/>
  <c r="G66" i="1"/>
  <c r="P82" i="1"/>
  <c r="P88" i="1" s="1"/>
  <c r="G88" i="1"/>
  <c r="G101" i="25" s="1"/>
  <c r="R101" i="25" s="1"/>
  <c r="G70" i="1"/>
  <c r="B78" i="1"/>
  <c r="B91" i="25" s="1"/>
  <c r="F27" i="1"/>
  <c r="F37" i="25" s="1"/>
  <c r="Z63" i="6"/>
  <c r="AI63" i="6" s="1"/>
  <c r="P22" i="1"/>
  <c r="G27" i="1"/>
  <c r="G37" i="25" s="1"/>
  <c r="R37" i="25" s="1"/>
  <c r="P52" i="1"/>
  <c r="R52" i="1" s="1"/>
  <c r="N71" i="15"/>
  <c r="Y71" i="15" s="1"/>
  <c r="AA71" i="6" s="1"/>
  <c r="K56" i="12"/>
  <c r="F56" i="5" s="1"/>
  <c r="F30" i="5"/>
  <c r="F31" i="5" s="1"/>
  <c r="D57" i="12"/>
  <c r="D57" i="7"/>
  <c r="D56" i="5"/>
  <c r="C27" i="1"/>
  <c r="C37" i="25" s="1"/>
  <c r="H34" i="4"/>
  <c r="H35" i="4" s="1"/>
  <c r="B64" i="2"/>
  <c r="D64" i="2" s="1"/>
  <c r="M64" i="2"/>
  <c r="M78" i="2" s="1"/>
  <c r="B19" i="1"/>
  <c r="B24" i="25" s="1"/>
  <c r="Z70" i="6"/>
  <c r="Z44" i="6"/>
  <c r="Z45" i="6" s="1"/>
  <c r="C91" i="1"/>
  <c r="C104" i="25" s="1"/>
  <c r="F31" i="10"/>
  <c r="I69" i="14"/>
  <c r="D71" i="6" s="1"/>
  <c r="Y45" i="15"/>
  <c r="I31" i="9"/>
  <c r="N45" i="15"/>
  <c r="D69" i="20"/>
  <c r="H69" i="20" s="1"/>
  <c r="AH71" i="6" s="1"/>
  <c r="H68" i="20"/>
  <c r="AH70" i="6" s="1"/>
  <c r="J47" i="5"/>
  <c r="D78" i="1" s="1"/>
  <c r="D91" i="25" s="1"/>
  <c r="G30" i="5"/>
  <c r="G31" i="5" s="1"/>
  <c r="I70" i="17"/>
  <c r="C31" i="5"/>
  <c r="J14" i="5"/>
  <c r="B31" i="5"/>
  <c r="H56" i="9"/>
  <c r="I49" i="9"/>
  <c r="E49" i="5" s="1"/>
  <c r="J49" i="5" s="1"/>
  <c r="AA45" i="6"/>
  <c r="F19" i="1"/>
  <c r="F24" i="25" s="1"/>
  <c r="G57" i="12"/>
  <c r="D57" i="10"/>
  <c r="F57" i="10" s="1"/>
  <c r="B57" i="5" s="1"/>
  <c r="F56" i="10"/>
  <c r="B56" i="5" s="1"/>
  <c r="D57" i="8"/>
  <c r="F57" i="8" s="1"/>
  <c r="C57" i="5" s="1"/>
  <c r="F56" i="8"/>
  <c r="C56" i="5" s="1"/>
  <c r="H53" i="16"/>
  <c r="R70" i="6" s="1"/>
  <c r="G54" i="16"/>
  <c r="H54" i="16" s="1"/>
  <c r="R71" i="6" s="1"/>
  <c r="P70" i="1" l="1"/>
  <c r="R70" i="1" s="1"/>
  <c r="G83" i="25"/>
  <c r="R83" i="25" s="1"/>
  <c r="S90" i="25" s="1"/>
  <c r="P8" i="1"/>
  <c r="G8" i="25"/>
  <c r="R8" i="25" s="1"/>
  <c r="P24" i="1"/>
  <c r="R24" i="1" s="1"/>
  <c r="G29" i="25"/>
  <c r="R29" i="25" s="1"/>
  <c r="P61" i="1"/>
  <c r="R61" i="1" s="1"/>
  <c r="G74" i="25"/>
  <c r="R74" i="25" s="1"/>
  <c r="G53" i="1"/>
  <c r="G66" i="25" s="1"/>
  <c r="R66" i="25" s="1"/>
  <c r="T59" i="25" s="1"/>
  <c r="F66" i="25"/>
  <c r="P64" i="1"/>
  <c r="R64" i="1" s="1"/>
  <c r="G77" i="25"/>
  <c r="R77" i="25" s="1"/>
  <c r="P25" i="1"/>
  <c r="R25" i="1" s="1"/>
  <c r="G30" i="25"/>
  <c r="R30" i="25" s="1"/>
  <c r="P59" i="1"/>
  <c r="R59" i="1" s="1"/>
  <c r="G72" i="25"/>
  <c r="R72" i="25" s="1"/>
  <c r="P66" i="1"/>
  <c r="R66" i="1" s="1"/>
  <c r="G79" i="25"/>
  <c r="R79" i="25" s="1"/>
  <c r="G47" i="1"/>
  <c r="G59" i="25" s="1"/>
  <c r="R59" i="25" s="1"/>
  <c r="F54" i="1"/>
  <c r="F67" i="25" s="1"/>
  <c r="AI44" i="6"/>
  <c r="F56" i="1" s="1"/>
  <c r="F69" i="25" s="1"/>
  <c r="F80" i="1"/>
  <c r="AI70" i="6"/>
  <c r="R82" i="1"/>
  <c r="R88" i="1" s="1"/>
  <c r="P67" i="1"/>
  <c r="G78" i="1"/>
  <c r="R22" i="1"/>
  <c r="P27" i="1"/>
  <c r="K57" i="12"/>
  <c r="F57" i="5" s="1"/>
  <c r="P47" i="1"/>
  <c r="R47" i="1" s="1"/>
  <c r="C56" i="1"/>
  <c r="G67" i="1"/>
  <c r="G80" i="25" s="1"/>
  <c r="R80" i="25" s="1"/>
  <c r="B78" i="2"/>
  <c r="B85" i="2" s="1"/>
  <c r="Z71" i="6"/>
  <c r="AI71" i="6" s="1"/>
  <c r="J56" i="5"/>
  <c r="D80" i="1"/>
  <c r="D93" i="25" s="1"/>
  <c r="H57" i="9"/>
  <c r="I57" i="9" s="1"/>
  <c r="E57" i="5" s="1"/>
  <c r="I56" i="9"/>
  <c r="E56" i="5" s="1"/>
  <c r="D19" i="1"/>
  <c r="D24" i="25" s="1"/>
  <c r="S36" i="25" l="1"/>
  <c r="R67" i="1"/>
  <c r="S79" i="25"/>
  <c r="S93" i="25" s="1"/>
  <c r="S101" i="25" s="1"/>
  <c r="T64" i="25" s="1"/>
  <c r="S69" i="25" s="1"/>
  <c r="R27" i="1"/>
  <c r="P78" i="1"/>
  <c r="R78" i="1" s="1"/>
  <c r="G91" i="25"/>
  <c r="R91" i="25" s="1"/>
  <c r="R8" i="1"/>
  <c r="P19" i="1"/>
  <c r="R19" i="1" s="1"/>
  <c r="C57" i="1"/>
  <c r="C70" i="25" s="1"/>
  <c r="C69" i="25"/>
  <c r="F90" i="1"/>
  <c r="F103" i="25" s="1"/>
  <c r="F93" i="25"/>
  <c r="R92" i="1"/>
  <c r="F91" i="1"/>
  <c r="F104" i="25" s="1"/>
  <c r="F57" i="1"/>
  <c r="F70" i="25" s="1"/>
  <c r="D78" i="2"/>
  <c r="B80" i="1" s="1"/>
  <c r="AI45" i="6"/>
  <c r="B86" i="2"/>
  <c r="D86" i="2" s="1"/>
  <c r="M86" i="2" s="1"/>
  <c r="B91" i="1" s="1"/>
  <c r="B104" i="25" s="1"/>
  <c r="D85" i="2"/>
  <c r="M85" i="2" s="1"/>
  <c r="B90" i="1" s="1"/>
  <c r="B103" i="25" s="1"/>
  <c r="G19" i="1"/>
  <c r="G24" i="25" s="1"/>
  <c r="R24" i="25" s="1"/>
  <c r="S24" i="25" s="1"/>
  <c r="D90" i="1"/>
  <c r="D103" i="25" s="1"/>
  <c r="T65" i="25" l="1"/>
  <c r="G80" i="1"/>
  <c r="G93" i="25" s="1"/>
  <c r="R93" i="25" s="1"/>
  <c r="B93" i="25"/>
  <c r="G90" i="1"/>
  <c r="G103" i="25" s="1"/>
  <c r="M28" i="7"/>
  <c r="M30" i="7" s="1"/>
  <c r="M31" i="7" s="1"/>
  <c r="N27" i="7"/>
  <c r="R27" i="7" l="1"/>
  <c r="D27" i="5" s="1"/>
  <c r="J27" i="5" s="1"/>
  <c r="N28" i="7"/>
  <c r="M58" i="7"/>
  <c r="M57" i="7" s="1"/>
  <c r="P53" i="1" l="1"/>
  <c r="R53" i="1" s="1"/>
  <c r="N30" i="7"/>
  <c r="R28" i="7"/>
  <c r="D28" i="5" s="1"/>
  <c r="J28" i="5" s="1"/>
  <c r="D54" i="1" s="1"/>
  <c r="D67" i="25" s="1"/>
  <c r="N58" i="7"/>
  <c r="G54" i="1" l="1"/>
  <c r="G37" i="1"/>
  <c r="N57" i="7"/>
  <c r="R58" i="7"/>
  <c r="D58" i="5" s="1"/>
  <c r="N31" i="7"/>
  <c r="R30" i="7"/>
  <c r="J58" i="5"/>
  <c r="J57" i="5" s="1"/>
  <c r="D91" i="1" s="1"/>
  <c r="P54" i="1" l="1"/>
  <c r="R54" i="1" s="1"/>
  <c r="G67" i="25"/>
  <c r="R67" i="25" s="1"/>
  <c r="R69" i="25" s="1"/>
  <c r="T69" i="25" s="1"/>
  <c r="G91" i="1"/>
  <c r="G104" i="25" s="1"/>
  <c r="D104" i="25"/>
  <c r="P37" i="1"/>
  <c r="R37" i="1" s="1"/>
  <c r="G48" i="25"/>
  <c r="R48" i="25" s="1"/>
  <c r="S66" i="25" s="1"/>
  <c r="D30" i="5"/>
  <c r="R31" i="7"/>
  <c r="R57" i="7"/>
  <c r="D57" i="5" s="1"/>
  <c r="D92" i="1"/>
  <c r="G92" i="1" l="1"/>
  <c r="G105" i="25" s="1"/>
  <c r="D105" i="25"/>
  <c r="P56" i="1"/>
  <c r="P57" i="1" s="1"/>
  <c r="R56" i="1"/>
  <c r="R57" i="1" s="1"/>
  <c r="R91" i="1"/>
  <c r="D31" i="5"/>
  <c r="J30" i="5"/>
  <c r="C23" i="2"/>
  <c r="J31" i="5" l="1"/>
  <c r="D56" i="1"/>
  <c r="D69" i="25" s="1"/>
  <c r="C28" i="2"/>
  <c r="C53" i="2" s="1"/>
  <c r="C54" i="2" s="1"/>
  <c r="D23" i="2"/>
  <c r="M23" i="2" l="1"/>
  <c r="B27" i="1" s="1"/>
  <c r="B37" i="25" s="1"/>
  <c r="D57" i="1"/>
  <c r="D70" i="25" s="1"/>
  <c r="D53" i="2"/>
  <c r="D54" i="2" s="1"/>
  <c r="M53" i="2" l="1"/>
  <c r="B56" i="1" s="1"/>
  <c r="G56" i="1" l="1"/>
  <c r="B69" i="25"/>
  <c r="M54" i="2"/>
  <c r="B57" i="1"/>
  <c r="B70" i="25" s="1"/>
  <c r="G57" i="1" l="1"/>
  <c r="G70" i="25" s="1"/>
  <c r="G69" i="25"/>
</calcChain>
</file>

<file path=xl/comments1.xml><?xml version="1.0" encoding="utf-8"?>
<comments xmlns="http://schemas.openxmlformats.org/spreadsheetml/2006/main">
  <authors>
    <author>Terri McFadden</author>
    <author>Heather Mohnkern</author>
  </authors>
  <commentList>
    <comment ref="N24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Invest in GFA - County Funds
</t>
        </r>
      </text>
    </comment>
    <comment ref="G88" authorId="1" shapeId="0">
      <text>
        <r>
          <rPr>
            <b/>
            <sz val="9"/>
            <color indexed="81"/>
            <rFont val="Tahoma"/>
            <family val="2"/>
          </rPr>
          <t>Heather Mohnkern:</t>
        </r>
        <r>
          <rPr>
            <sz val="9"/>
            <color indexed="81"/>
            <rFont val="Tahoma"/>
            <family val="2"/>
          </rPr>
          <t xml:space="preserve">
Inmate Prison??  See other misc revenue in Gen Fund
</t>
        </r>
      </text>
    </comment>
  </commentList>
</comments>
</file>

<file path=xl/comments2.xml><?xml version="1.0" encoding="utf-8"?>
<comments xmlns="http://schemas.openxmlformats.org/spreadsheetml/2006/main">
  <authors>
    <author>Terri McFadden</author>
  </authors>
  <commentList>
    <comment ref="C13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There was not an entry for -415,000.00. We made it ourselves to reflect outside audit adjustments.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There was not an entry for -415,000.00. We made it ourselves to reflect outside audit adjustments.</t>
        </r>
      </text>
    </comment>
    <comment ref="B42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There was not an entry for -59,992.00. We made it ourselves to reflect outside audit adjustments.</t>
        </r>
      </text>
    </comment>
    <comment ref="B46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There was not an entry for 9,100.00. We made it ourselves to reflect outside audit adjustments. Moved it from Debt Service to Gen'l. Admin.
</t>
        </r>
      </text>
    </comment>
    <comment ref="B53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There was not an entry for -59,992.00. We made it ourselves to reflect outside audit adjustments. Moved it from Capital Projects to Debt Service.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There was not an entry for -59,992.00. We made it ourselves to reflect outside audit adjustments. Moved it from Capital Projects to Debt Service. Moved 9,100.00 to Gen'l Admin.
</t>
        </r>
      </text>
    </comment>
    <comment ref="B60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There was not an entry for 59,992.00. We made it ourselves to reflect outside audit adjustments.</t>
        </r>
      </text>
    </comment>
  </commentList>
</comments>
</file>

<file path=xl/comments3.xml><?xml version="1.0" encoding="utf-8"?>
<comments xmlns="http://schemas.openxmlformats.org/spreadsheetml/2006/main">
  <authors>
    <author>Terri McFadden</author>
  </authors>
  <commentList>
    <comment ref="B10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Moved $104,070.25 from A/R to Due from Other Governments.</t>
        </r>
      </text>
    </comment>
    <comment ref="B11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Moved $17,402.95 from Prepaids to Due from Other Funds.</t>
        </r>
      </text>
    </comment>
    <comment ref="B12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Moved $104,070.25 from A/R to Due from Other Governments.</t>
        </r>
      </text>
    </comment>
    <comment ref="B13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Moved $17,402.95 from Prepaids to Due from Other Funds.</t>
        </r>
      </text>
    </comment>
    <comment ref="B33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Moved $$17,178.39 from Fines &amp; Forfeits to Intergovernmental.</t>
        </r>
      </text>
    </comment>
    <comment ref="B34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Moved $17,178.39 from Fines &amp; Forfeits to Intergovernmenatal and $120.00 to Charges for Services.</t>
        </r>
      </text>
    </comment>
    <comment ref="B37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Moved $1,407.00 from Other to Sale of Fixed Assets.</t>
        </r>
      </text>
    </comment>
  </commentList>
</comments>
</file>

<file path=xl/comments4.xml><?xml version="1.0" encoding="utf-8"?>
<comments xmlns="http://schemas.openxmlformats.org/spreadsheetml/2006/main">
  <authors>
    <author>Terri McFadden</author>
  </authors>
  <commentList>
    <comment ref="B11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Moved $27840.10 from Prepaids to Due from Other Funds.</t>
        </r>
      </text>
    </comment>
    <comment ref="B13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Moved $27840.10 from Prepaids to Due from Other Funds.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I made a .48 adjustment.
</t>
        </r>
      </text>
    </comment>
    <comment ref="B37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Moved $5,043.00 from Other to Sale of Fixed Assets.
</t>
        </r>
      </text>
    </comment>
  </commentList>
</comments>
</file>

<file path=xl/comments5.xml><?xml version="1.0" encoding="utf-8"?>
<comments xmlns="http://schemas.openxmlformats.org/spreadsheetml/2006/main">
  <authors>
    <author>Terri McFadden</author>
  </authors>
  <commentList>
    <comment ref="B10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Moved $3,651.29 to Due from Other Governments.</t>
        </r>
      </text>
    </comment>
    <comment ref="B13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Moved $6,091.70 to Due from Other Funds.
</t>
        </r>
      </text>
    </comment>
  </commentList>
</comments>
</file>

<file path=xl/comments6.xml><?xml version="1.0" encoding="utf-8"?>
<comments xmlns="http://schemas.openxmlformats.org/spreadsheetml/2006/main">
  <authors>
    <author>Terri McFadden</author>
  </authors>
  <commentList>
    <comment ref="B34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Moved $20,625.73 to Intergovernmental.
</t>
        </r>
      </text>
    </comment>
    <comment ref="B35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Moved $650,908.98 to Intergovernmental &amp; $24,910.45 to Other.
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Moved $156,209.10 to Intergovernmenatal.
</t>
        </r>
      </text>
    </comment>
  </commentList>
</comments>
</file>

<file path=xl/comments7.xml><?xml version="1.0" encoding="utf-8"?>
<comments xmlns="http://schemas.openxmlformats.org/spreadsheetml/2006/main">
  <authors>
    <author>Terri McFadden</author>
  </authors>
  <commentList>
    <comment ref="B37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Moved $3,420.00 to Sale of Fixed Assets.
</t>
        </r>
      </text>
    </comment>
    <comment ref="B51" authorId="0" shapeId="0">
      <text>
        <r>
          <rPr>
            <b/>
            <sz val="9"/>
            <color indexed="81"/>
            <rFont val="Tahoma"/>
            <family val="2"/>
          </rPr>
          <t>Terri McFadden:</t>
        </r>
        <r>
          <rPr>
            <sz val="9"/>
            <color indexed="81"/>
            <rFont val="Tahoma"/>
            <family val="2"/>
          </rPr>
          <t xml:space="preserve">
Moved $3,420.00 from Revenue Other to Sale of Fixed Assets.
</t>
        </r>
      </text>
    </comment>
  </commentList>
</comments>
</file>

<file path=xl/sharedStrings.xml><?xml version="1.0" encoding="utf-8"?>
<sst xmlns="http://schemas.openxmlformats.org/spreadsheetml/2006/main" count="1711" uniqueCount="501">
  <si>
    <t>Transportation Fund</t>
  </si>
  <si>
    <t>Combining Balance sheet and Statement of Revenue &amp; Expenses</t>
  </si>
  <si>
    <t>Assets</t>
  </si>
  <si>
    <t>Cash &amp; cash equivalents</t>
  </si>
  <si>
    <t>A/R</t>
  </si>
  <si>
    <t>Due from Other Governments</t>
  </si>
  <si>
    <t>Due from Other  Funds</t>
  </si>
  <si>
    <t>Total Assets</t>
  </si>
  <si>
    <t>Liabilities</t>
  </si>
  <si>
    <t>A/P</t>
  </si>
  <si>
    <t>Accrued Payroll</t>
  </si>
  <si>
    <t>Due to Other Governments</t>
  </si>
  <si>
    <t>Deferred  Revenue</t>
  </si>
  <si>
    <t>Total Liabilities</t>
  </si>
  <si>
    <t>Fund Balance</t>
  </si>
  <si>
    <t>Reserved:  Program</t>
  </si>
  <si>
    <t>Reserved:  Prepaids</t>
  </si>
  <si>
    <t>Unreserved</t>
  </si>
  <si>
    <t>Total Fund Balance</t>
  </si>
  <si>
    <t>Total Liabilities &amp; Fund Balance</t>
  </si>
  <si>
    <t>Revenue</t>
  </si>
  <si>
    <t>Intergovermental</t>
  </si>
  <si>
    <t>Charges for Services</t>
  </si>
  <si>
    <t>Interest</t>
  </si>
  <si>
    <t>Other</t>
  </si>
  <si>
    <t>Total Revenues</t>
  </si>
  <si>
    <t>Expenditures</t>
  </si>
  <si>
    <t>General gvt - administration</t>
  </si>
  <si>
    <t>General gvt - judicial</t>
  </si>
  <si>
    <t>Public safety</t>
  </si>
  <si>
    <t>Public works and enterprises</t>
  </si>
  <si>
    <t>Human services</t>
  </si>
  <si>
    <t>Total Expenditures</t>
  </si>
  <si>
    <t>Excess (Deficiency)</t>
  </si>
  <si>
    <t>Transfers In</t>
  </si>
  <si>
    <t>Transfers Out</t>
  </si>
  <si>
    <t>Total Other</t>
  </si>
  <si>
    <t>Net Change in Fund Balance</t>
  </si>
  <si>
    <t>Fund Balance - Beginning</t>
  </si>
  <si>
    <t>Fund Balance - End of Year</t>
  </si>
  <si>
    <t>Shared Ride
1810</t>
  </si>
  <si>
    <t>MATP
1820</t>
  </si>
  <si>
    <t>Fixed Route
1840</t>
  </si>
  <si>
    <t>Trans. Rural 
1830</t>
  </si>
  <si>
    <t>Capital Transit
7580</t>
  </si>
  <si>
    <t>Rural Operat.
7581</t>
  </si>
  <si>
    <t>Act 26 Shared
7582</t>
  </si>
  <si>
    <t>ADJ</t>
  </si>
  <si>
    <t>Adjusted
MATP</t>
  </si>
  <si>
    <t>Adjusted
Shared Ride</t>
  </si>
  <si>
    <t>Adjusted
Fixed Route</t>
  </si>
  <si>
    <t>Adjusted
Trans Rural</t>
  </si>
  <si>
    <t>Total All Adjusted
S.Ride/MATP/F.Route/Trans</t>
  </si>
  <si>
    <t>Other Governmental Funds</t>
  </si>
  <si>
    <t>Liquid Fuels
2000</t>
  </si>
  <si>
    <t>Affordable Housing
2020</t>
  </si>
  <si>
    <t>Airport Funds</t>
  </si>
  <si>
    <t>Airport
2050</t>
  </si>
  <si>
    <t>Airport Project
2100</t>
  </si>
  <si>
    <t>Wings Over
Venango
2150</t>
  </si>
  <si>
    <t>TOTAL
AIRPORT</t>
  </si>
  <si>
    <t>Prepaids</t>
  </si>
  <si>
    <t>Conservation and Development</t>
  </si>
  <si>
    <t>Conservation and development</t>
  </si>
  <si>
    <t>Hazmat
2200</t>
  </si>
  <si>
    <t>911
2252/2250</t>
  </si>
  <si>
    <t>911
2250</t>
  </si>
  <si>
    <t>911 Wireless
2252</t>
  </si>
  <si>
    <t>Court Constable
2400</t>
  </si>
  <si>
    <t>Offender ID
2450</t>
  </si>
  <si>
    <t>Juevenile Court
2460</t>
  </si>
  <si>
    <t>County Records
2750</t>
  </si>
  <si>
    <t>Prothonotary
2760</t>
  </si>
  <si>
    <t>TOTALS</t>
  </si>
  <si>
    <t>CDBG
1720/2579</t>
  </si>
  <si>
    <t>CSBG
1710</t>
  </si>
  <si>
    <t>OEO-SWP
1730</t>
  </si>
  <si>
    <t>OEO Weather
1900/1910/1920</t>
  </si>
  <si>
    <t>OEO-Other
1740-1790</t>
  </si>
  <si>
    <t>Special 
Purpose
7100/7150/
7540</t>
  </si>
  <si>
    <t xml:space="preserve">Tax Claim
7600
</t>
  </si>
  <si>
    <t>Adoption
7250</t>
  </si>
  <si>
    <t>Domestic
Relations
7700</t>
  </si>
  <si>
    <t>TOTAL</t>
  </si>
  <si>
    <t>TOTAL OTHER GVT</t>
  </si>
  <si>
    <t>CDBG
1720</t>
  </si>
  <si>
    <t>CDBG
2579</t>
  </si>
  <si>
    <t>Adjusted CDBG</t>
  </si>
  <si>
    <t>CDBG</t>
  </si>
  <si>
    <t>911</t>
  </si>
  <si>
    <t>Adjusted 911Wireless</t>
  </si>
  <si>
    <t>Adjusted CSBG</t>
  </si>
  <si>
    <t>Adjusted 
OEO-SWP</t>
  </si>
  <si>
    <t>OEO-Weatherization</t>
  </si>
  <si>
    <t>Weather DOE
1910</t>
  </si>
  <si>
    <t>Adjusted Weather</t>
  </si>
  <si>
    <t>Weather LIHEAP
1920</t>
  </si>
  <si>
    <t>OEO - HSDF
1740</t>
  </si>
  <si>
    <t>Adjusted OEO</t>
  </si>
  <si>
    <t>OEO-DPW
1750</t>
  </si>
  <si>
    <t>OEO - State
1760</t>
  </si>
  <si>
    <t>OEO-FEMA
1780</t>
  </si>
  <si>
    <t>OEO-CAPS
1790</t>
  </si>
  <si>
    <t>TOTAL
OEO Other</t>
  </si>
  <si>
    <t>OEO-Other</t>
  </si>
  <si>
    <t>Special Purpose</t>
  </si>
  <si>
    <t>Lindquist
7100</t>
  </si>
  <si>
    <t>IRA Hazlett
7150</t>
  </si>
  <si>
    <t>MH/MR
7540</t>
  </si>
  <si>
    <t>TOTAL
Special Purpose</t>
  </si>
  <si>
    <t>General Fund</t>
  </si>
  <si>
    <t>Org</t>
  </si>
  <si>
    <t>Income</t>
  </si>
  <si>
    <t>Licenses</t>
  </si>
  <si>
    <t>Intergvt</t>
  </si>
  <si>
    <t>Charges for 
Services</t>
  </si>
  <si>
    <t>Fines &amp;
Forfeits</t>
  </si>
  <si>
    <t>Lease Revenue</t>
  </si>
  <si>
    <t>Total Revenue</t>
  </si>
  <si>
    <t>Expenses</t>
  </si>
  <si>
    <t>General Admin</t>
  </si>
  <si>
    <t>General Judicial</t>
  </si>
  <si>
    <t>Public Safety</t>
  </si>
  <si>
    <t>Public Works</t>
  </si>
  <si>
    <t>Conservation &amp; Development</t>
  </si>
  <si>
    <t>Capital 
Projects</t>
  </si>
  <si>
    <t>Debt
Service</t>
  </si>
  <si>
    <t>Total Expenses</t>
  </si>
  <si>
    <t>Excess/
Deficiency</t>
  </si>
  <si>
    <t>Interfund In</t>
  </si>
  <si>
    <t>Interfund Out</t>
  </si>
  <si>
    <t>YEA Government</t>
  </si>
  <si>
    <t>General Government</t>
  </si>
  <si>
    <t>Fiscal</t>
  </si>
  <si>
    <t>Tax Claim</t>
  </si>
  <si>
    <t xml:space="preserve">Assessment </t>
  </si>
  <si>
    <t>Telephone</t>
  </si>
  <si>
    <t>MIS</t>
  </si>
  <si>
    <t>Maintenance</t>
  </si>
  <si>
    <t>Courthouse</t>
  </si>
  <si>
    <t>Annex</t>
  </si>
  <si>
    <t>Exchange Building</t>
  </si>
  <si>
    <t>Custodial</t>
  </si>
  <si>
    <t>Fleet Mgmt</t>
  </si>
  <si>
    <t>YEA - Judicial</t>
  </si>
  <si>
    <t>YEA - Public Safety</t>
  </si>
  <si>
    <t>YEA - Public Works</t>
  </si>
  <si>
    <t>YEA - Human Services</t>
  </si>
  <si>
    <t>YEA - Conservvation</t>
  </si>
  <si>
    <t>Debt Service</t>
  </si>
  <si>
    <t>Courts</t>
  </si>
  <si>
    <t>Domestic Relations</t>
  </si>
  <si>
    <t>Law Library</t>
  </si>
  <si>
    <t>FISH - DJ</t>
  </si>
  <si>
    <t>Dinberg - DJ</t>
  </si>
  <si>
    <t>Court Supervision</t>
  </si>
  <si>
    <t>Juevenile Court</t>
  </si>
  <si>
    <t>Prison</t>
  </si>
  <si>
    <t xml:space="preserve">EMA   </t>
  </si>
  <si>
    <t>EMA - 911 Building</t>
  </si>
  <si>
    <t>911 General</t>
  </si>
  <si>
    <t>Airport</t>
  </si>
  <si>
    <t>Human Services</t>
  </si>
  <si>
    <t>Veterans</t>
  </si>
  <si>
    <t>Tax Collectors</t>
  </si>
  <si>
    <t>Treasurer</t>
  </si>
  <si>
    <t>Auditors</t>
  </si>
  <si>
    <t>Jury Commissioners</t>
  </si>
  <si>
    <t>Register &amp; Recorder</t>
  </si>
  <si>
    <t>Coroner</t>
  </si>
  <si>
    <t>District Attorney</t>
  </si>
  <si>
    <t>Prothonotary</t>
  </si>
  <si>
    <t>Sheriff</t>
  </si>
  <si>
    <t>Commissioners</t>
  </si>
  <si>
    <t>Voter Registration</t>
  </si>
  <si>
    <t>Public Defender</t>
  </si>
  <si>
    <t>Human Resources</t>
  </si>
  <si>
    <t>Planning</t>
  </si>
  <si>
    <t>Community Development</t>
  </si>
  <si>
    <t>Insurance</t>
  </si>
  <si>
    <t>Employee Benefits</t>
  </si>
  <si>
    <t>Adjusted
Capital Transit</t>
  </si>
  <si>
    <t>Adjusted
Rural Operating</t>
  </si>
  <si>
    <t>Adjusted
Act 26 Shared</t>
  </si>
  <si>
    <t>Eliminations</t>
  </si>
  <si>
    <t>Adjusted Domestic Relations</t>
  </si>
  <si>
    <t>ALL GOVERNMENT FUNDS</t>
  </si>
  <si>
    <t>Other Governmental
 Funds</t>
  </si>
  <si>
    <t>TOTAL GOVT 
FUNDS</t>
  </si>
  <si>
    <t>Advances Receivable</t>
  </si>
  <si>
    <t>Due to Other Funds</t>
  </si>
  <si>
    <t>General 
Fund</t>
  </si>
  <si>
    <t>Human Services
 Fund</t>
  </si>
  <si>
    <t>TOTAL
911</t>
  </si>
  <si>
    <t>Lease Receivable</t>
  </si>
  <si>
    <t xml:space="preserve">       Current</t>
  </si>
  <si>
    <t xml:space="preserve">       Non-Current</t>
  </si>
  <si>
    <t># 5</t>
  </si>
  <si>
    <t># 7</t>
  </si>
  <si>
    <t># 8</t>
  </si>
  <si>
    <t xml:space="preserve">      Taxes</t>
  </si>
  <si>
    <t xml:space="preserve">      Licenses</t>
  </si>
  <si>
    <t>Fines and Forfeits</t>
  </si>
  <si>
    <t>Capital Projects</t>
  </si>
  <si>
    <t>General Fund &amp; Operating Reserve</t>
  </si>
  <si>
    <t>General Fund
1000</t>
  </si>
  <si>
    <t>Operating Reserve
1100</t>
  </si>
  <si>
    <t>Adjusted General Fund</t>
  </si>
  <si>
    <t>Total General Fund</t>
  </si>
  <si>
    <t>Franklin Tax Collector 7210</t>
  </si>
  <si>
    <t>Oil City Tax Collector 7211</t>
  </si>
  <si>
    <t>Other Tax Collectors 7212</t>
  </si>
  <si>
    <t>Franklin Per Capita 7213</t>
  </si>
  <si>
    <t>Real Estate</t>
  </si>
  <si>
    <t>Per Capita</t>
  </si>
  <si>
    <t>Hotel Room</t>
  </si>
  <si>
    <t>Check</t>
  </si>
  <si>
    <t>Occupational</t>
  </si>
  <si>
    <t>Sales</t>
  </si>
  <si>
    <t>Public Utility Realty Tax</t>
  </si>
  <si>
    <t>Capital Projects Fund</t>
  </si>
  <si>
    <t>Capital Projects 3000</t>
  </si>
  <si>
    <t>Debt Service 4000</t>
  </si>
  <si>
    <t>Debt Service 4100</t>
  </si>
  <si>
    <t>TOTAL
Capital Projects</t>
  </si>
  <si>
    <t>Airport 
2100/2150/
2050</t>
  </si>
  <si>
    <t>YEA - Culture &amp; Recreation</t>
  </si>
  <si>
    <t>YEA - Other Miscellaneous</t>
  </si>
  <si>
    <t>Park</t>
  </si>
  <si>
    <t>Culture &amp; Recreation</t>
  </si>
  <si>
    <t xml:space="preserve"> </t>
  </si>
  <si>
    <t>Adj Court Constable</t>
  </si>
  <si>
    <t>Adj Prothonotary</t>
  </si>
  <si>
    <t>Taxes Receivable</t>
  </si>
  <si>
    <t>Adj for Court Constable</t>
  </si>
  <si>
    <t>Adjustments to Prothonotary</t>
  </si>
  <si>
    <t>Adjustments for Airport 2050</t>
  </si>
  <si>
    <t>Adjusted Balances for Airport 2050</t>
  </si>
  <si>
    <t>Adjustments for Airport 2100</t>
  </si>
  <si>
    <t>TOTAL CDBG</t>
  </si>
  <si>
    <t>Fines &amp; Forfeits</t>
  </si>
  <si>
    <t>check categories</t>
  </si>
  <si>
    <t>Capital Projects 
Fund (3000/4000/4100)</t>
  </si>
  <si>
    <t>1770-OEO-USDA</t>
  </si>
  <si>
    <t>Transportation 1810/1820/1830/1840/7580 &amp; 7581/7582</t>
  </si>
  <si>
    <t>Culture &amp; Recreatiion</t>
  </si>
  <si>
    <t>Total 
Human Services</t>
  </si>
  <si>
    <t>Human Services 1150</t>
  </si>
  <si>
    <t>Mental Retardation
Funds</t>
  </si>
  <si>
    <t>Mental Health
Funds</t>
  </si>
  <si>
    <t>Substance Abuse
Funds</t>
  </si>
  <si>
    <t>CYS Funds</t>
  </si>
  <si>
    <t>RSVP Funds</t>
  </si>
  <si>
    <t>AAA Funds</t>
  </si>
  <si>
    <t>Human Services Funds</t>
  </si>
  <si>
    <t>TOTAL
RSVP</t>
  </si>
  <si>
    <t>RSVP
7515</t>
  </si>
  <si>
    <t>RSVP
1180</t>
  </si>
  <si>
    <t>TOTAL
CYS</t>
  </si>
  <si>
    <t>Adjusted
Early Head Start</t>
  </si>
  <si>
    <t>Early Head Start 
7522</t>
  </si>
  <si>
    <t>Adjusted
Family Services</t>
  </si>
  <si>
    <t>Family Services 7521</t>
  </si>
  <si>
    <t>CYS Restricted 7520</t>
  </si>
  <si>
    <t>Adjusted
Regional Training</t>
  </si>
  <si>
    <t>Regional Training 1240</t>
  </si>
  <si>
    <t>Adjusted
Crisis</t>
  </si>
  <si>
    <t>Crisis
1230</t>
  </si>
  <si>
    <t>Adjusted
CYS</t>
  </si>
  <si>
    <t>CYS
1200</t>
  </si>
  <si>
    <t>TOTAL
Substance Abuse</t>
  </si>
  <si>
    <t>Adjusted
Tobacco</t>
  </si>
  <si>
    <t>Tobacco
1340</t>
  </si>
  <si>
    <t>DUI
1320</t>
  </si>
  <si>
    <t>Adjusted
SA</t>
  </si>
  <si>
    <t>Substance Abuse
1300</t>
  </si>
  <si>
    <t>Substance Abuse Funds</t>
  </si>
  <si>
    <t>TOTAL
AAA</t>
  </si>
  <si>
    <t>AAA
7510</t>
  </si>
  <si>
    <t>Adjusted
AAA</t>
  </si>
  <si>
    <t>AAA
1160</t>
  </si>
  <si>
    <t>Adjusted Human Services</t>
  </si>
  <si>
    <t>1150 Human Service</t>
  </si>
  <si>
    <t>TOTAL
Mental Health</t>
  </si>
  <si>
    <t>Adjusted
Health Choices</t>
  </si>
  <si>
    <t>Health Choices
1450</t>
  </si>
  <si>
    <t>Adjusted
Mental Health</t>
  </si>
  <si>
    <t>Mental Health
1400</t>
  </si>
  <si>
    <t>Mental Health Funds</t>
  </si>
  <si>
    <t>Adjusted
Early Intervention</t>
  </si>
  <si>
    <t>Early Intervention
1650</t>
  </si>
  <si>
    <t>Adjusted
M/R Waiver</t>
  </si>
  <si>
    <t>M/R Waiver
1600</t>
  </si>
  <si>
    <t>Adjusted
Waiver Ineligible</t>
  </si>
  <si>
    <t>Waiver Ineligible
1550</t>
  </si>
  <si>
    <t>2010 Debt
Service
4300</t>
  </si>
  <si>
    <t>Prison
Commissary
7410</t>
  </si>
  <si>
    <t>PARK
MANAGEMENT2300</t>
  </si>
  <si>
    <t>Due to other Funds</t>
  </si>
  <si>
    <t>Human Services Complex</t>
  </si>
  <si>
    <t>Proceeds from Sale of Fixed Assets</t>
  </si>
  <si>
    <t>Sale of Fixed Assets</t>
  </si>
  <si>
    <t>Adjusted
RSVP 1180</t>
  </si>
  <si>
    <t>Developmental Services Funds</t>
  </si>
  <si>
    <t>Development Services
1500</t>
  </si>
  <si>
    <t>Adjusted
Developmental Services</t>
  </si>
  <si>
    <t>TOTAL
Developmental Services</t>
  </si>
  <si>
    <t>Org#</t>
  </si>
  <si>
    <t>Lease Revenue/Rent</t>
  </si>
  <si>
    <t>Adjusted 911 2250</t>
  </si>
  <si>
    <t>Adjustments</t>
  </si>
  <si>
    <t>Adjusted 2010 Debt Service 4300</t>
  </si>
  <si>
    <t xml:space="preserve">  </t>
  </si>
  <si>
    <t>Developmental</t>
  </si>
  <si>
    <t>Services</t>
  </si>
  <si>
    <t>Planning/ Marcellus
2790</t>
  </si>
  <si>
    <t>OEO-Disabilities
1755</t>
  </si>
  <si>
    <t>TAXES</t>
  </si>
  <si>
    <t>Pension/Retirement</t>
  </si>
  <si>
    <t>Pension
7000</t>
  </si>
  <si>
    <t>Gvt &amp; Agency Securities</t>
  </si>
  <si>
    <t>Municipal Bonds</t>
  </si>
  <si>
    <t>Corporate Bonds</t>
  </si>
  <si>
    <t>Corporate Stock - Common</t>
  </si>
  <si>
    <t>Unrealized Gain/Loss</t>
  </si>
  <si>
    <t>Investment Expense</t>
  </si>
  <si>
    <t>County Pension Contributions</t>
  </si>
  <si>
    <t>Employee Pension Contributions</t>
  </si>
  <si>
    <t xml:space="preserve"> Pension Benefits and Refunds</t>
  </si>
  <si>
    <t>Consultants - Administrative</t>
  </si>
  <si>
    <t>Realized Gain/Loss</t>
  </si>
  <si>
    <t>TOTAL Pension</t>
  </si>
  <si>
    <t xml:space="preserve">  RESTRICTED</t>
  </si>
  <si>
    <t>Operating Reserve</t>
  </si>
  <si>
    <t>Roads and bridges</t>
  </si>
  <si>
    <t>Affordable housing</t>
  </si>
  <si>
    <t>Act 13</t>
  </si>
  <si>
    <t>Constable server fees</t>
  </si>
  <si>
    <t>Offender identification</t>
  </si>
  <si>
    <t>Records improvement/automation</t>
  </si>
  <si>
    <t>Sugar Valley Lodge</t>
  </si>
  <si>
    <t>Other Purposes</t>
  </si>
  <si>
    <t>ASSIGNED</t>
  </si>
  <si>
    <t xml:space="preserve"> Capital Projects</t>
  </si>
  <si>
    <t>Substance Abuse</t>
  </si>
  <si>
    <t>Airport Operations</t>
  </si>
  <si>
    <t>Community Action</t>
  </si>
  <si>
    <t xml:space="preserve"> UNASSIGNED</t>
  </si>
  <si>
    <t>Deferred Inflows of Resources:</t>
  </si>
  <si>
    <r>
      <t xml:space="preserve">    </t>
    </r>
    <r>
      <rPr>
        <sz val="11"/>
        <color indexed="8"/>
        <rFont val="Calibri"/>
        <family val="2"/>
      </rPr>
      <t>Unavailable revenue - taxes/fees</t>
    </r>
  </si>
  <si>
    <r>
      <t xml:space="preserve">    </t>
    </r>
    <r>
      <rPr>
        <sz val="11"/>
        <color indexed="8"/>
        <rFont val="Calibri"/>
        <family val="2"/>
      </rPr>
      <t>Unavailable revenue - lease</t>
    </r>
  </si>
  <si>
    <t>Total Deferred Inflows of Resources</t>
  </si>
  <si>
    <t>Debt Service &amp; Capital Outlay</t>
  </si>
  <si>
    <t xml:space="preserve">    Unavailable revenue - taxes/fees</t>
  </si>
  <si>
    <t xml:space="preserve">    Unavailable revenue - lease</t>
  </si>
  <si>
    <t>Total Deferred Inflows</t>
  </si>
  <si>
    <t xml:space="preserve">      Unavailable revenue - taxes/fees</t>
  </si>
  <si>
    <t>TAX REVENUE</t>
  </si>
  <si>
    <t>2590
Workforce
Development</t>
  </si>
  <si>
    <t>Lease Receivable/Other</t>
  </si>
  <si>
    <t>Equity in Pooled Cash</t>
  </si>
  <si>
    <t>Sep Bank</t>
  </si>
  <si>
    <t>Roads and Bridges</t>
  </si>
  <si>
    <t>Records improvement</t>
  </si>
  <si>
    <t>Domestic relations</t>
  </si>
  <si>
    <t>Other purposes</t>
  </si>
  <si>
    <t>Assigned:</t>
  </si>
  <si>
    <t>Substance abuse</t>
  </si>
  <si>
    <t>Airport operations</t>
  </si>
  <si>
    <t>Community action</t>
  </si>
  <si>
    <t>Operating reserve</t>
  </si>
  <si>
    <t>Restricted:</t>
  </si>
  <si>
    <t>Capital projects</t>
  </si>
  <si>
    <t>Unassigned</t>
  </si>
  <si>
    <t>Other Assets</t>
  </si>
  <si>
    <t>Premium on refunding bonds</t>
  </si>
  <si>
    <t xml:space="preserve">Payment to refunded bond escrow </t>
  </si>
  <si>
    <t>Revenue &amp; Expenses</t>
  </si>
  <si>
    <t>7000
PENSION</t>
  </si>
  <si>
    <t>OTHER NOT REPORTED AS ALL GOVERNMENT FUNDS</t>
  </si>
  <si>
    <t>7200
Various Agency Trusts</t>
  </si>
  <si>
    <t>7300
Sheriff</t>
  </si>
  <si>
    <t>7400
Prison -Inmate Escrow</t>
  </si>
  <si>
    <t>7410
Prison Commissary</t>
  </si>
  <si>
    <t>8000
Fixed Assets</t>
  </si>
  <si>
    <t>Subtotal of
These Others</t>
  </si>
  <si>
    <t>TOTAL
COUNTY FUNDS</t>
  </si>
  <si>
    <t>OEO
1700</t>
  </si>
  <si>
    <t>0000
Pooled Cash</t>
  </si>
  <si>
    <t>TIES TO TRIAL BALANCE</t>
  </si>
  <si>
    <t>ties to Major Fund Determination</t>
  </si>
  <si>
    <t>INTERGOVERNMENTAL</t>
  </si>
  <si>
    <t>&amp; PUBLIC UTILITY TAX</t>
  </si>
  <si>
    <t>OTHER &amp; RENT</t>
  </si>
  <si>
    <t>PROCEEDS FROM</t>
  </si>
  <si>
    <t xml:space="preserve"># 4 </t>
  </si>
  <si>
    <t>Unearned  Revenue</t>
  </si>
  <si>
    <t xml:space="preserve">      Unavailable revenue - note</t>
  </si>
  <si>
    <t>Journal Entries - # 1 - Domestic Relationship Adj</t>
  </si>
  <si>
    <t>Proceeds from capital leases</t>
  </si>
  <si>
    <t>Sugar Valley Buildings</t>
  </si>
  <si>
    <t>Lowrey - DJ</t>
  </si>
  <si>
    <t xml:space="preserve"> Kirtland - DJ</t>
  </si>
  <si>
    <t>Register 
and 
Recorder
2770</t>
  </si>
  <si>
    <t>ties out to Major Fund Determination</t>
  </si>
  <si>
    <t>ties out to Major Fund Determination if you add Sales of Fixed Assets</t>
  </si>
  <si>
    <t>Balance Sheet</t>
  </si>
  <si>
    <t>P &amp; L</t>
  </si>
  <si>
    <t>2360         Economic Development</t>
  </si>
  <si>
    <t># 2  - District Attorney</t>
  </si>
  <si>
    <t>Due from Component Unit</t>
  </si>
  <si>
    <t># 3 - Capital Projects</t>
  </si>
  <si>
    <t>#1 Lease Receivable</t>
  </si>
  <si>
    <t>#2 Compensated Absences</t>
  </si>
  <si>
    <t>#3 Clerk of Courts</t>
  </si>
  <si>
    <t>#4 Debt</t>
  </si>
  <si>
    <t>#5 Taxes Receivable</t>
  </si>
  <si>
    <t>#6 In-Kind EHS</t>
  </si>
  <si>
    <t>#7 Capital Assets</t>
  </si>
  <si>
    <t>#8 Capital Lease</t>
  </si>
  <si>
    <t>#9 Net Pension Asset</t>
  </si>
  <si>
    <t>Other Eliminations</t>
  </si>
  <si>
    <t>Adjusted Amounts</t>
  </si>
  <si>
    <t>Compensated Absences</t>
  </si>
  <si>
    <t>Capital Lease - Current</t>
  </si>
  <si>
    <t>Capital Lease - Long Term</t>
  </si>
  <si>
    <t>Bonds Payable - Current</t>
  </si>
  <si>
    <t>Bonds Payable - Long Term</t>
  </si>
  <si>
    <t>Net Pension Asset</t>
  </si>
  <si>
    <t>Beg. Year Non-Dep. Capital Assets</t>
  </si>
  <si>
    <t>Depreciable Capital Assets</t>
  </si>
  <si>
    <t>A/D</t>
  </si>
  <si>
    <t>Net Investment in Capital Assets</t>
  </si>
  <si>
    <t>Deferred Outflows Pension</t>
  </si>
  <si>
    <t>Deferred Inflow Pension</t>
  </si>
  <si>
    <t>yellow=new line items since back statements for front only</t>
  </si>
  <si>
    <t>Breakdown of Net Assets:</t>
  </si>
  <si>
    <t>Add Assigned Funds</t>
  </si>
  <si>
    <t>Remove Capital Assets See Calculation</t>
  </si>
  <si>
    <t>Adjust for Excess/Loss on Back Stmts.</t>
  </si>
  <si>
    <t>Capital Assets - Net Deprec.</t>
  </si>
  <si>
    <t>Capital Assets - Deprec/A/D</t>
  </si>
  <si>
    <t>Captial Lease - Current Liability</t>
  </si>
  <si>
    <t>Capital Lease - Noncurrent</t>
  </si>
  <si>
    <t>Bonds Payable Current</t>
  </si>
  <si>
    <t>Bonds Payable Noncurrent</t>
  </si>
  <si>
    <t>Remove Net Pension Asset</t>
  </si>
  <si>
    <t>Capital Assets:</t>
  </si>
  <si>
    <t>Pension</t>
  </si>
  <si>
    <t>Differencer in Cap Assets</t>
  </si>
  <si>
    <t>Check and Balance to Total Assets</t>
  </si>
  <si>
    <t>Statement of Activities</t>
  </si>
  <si>
    <t xml:space="preserve">Year Ended </t>
  </si>
  <si>
    <t>Functions/Programs</t>
  </si>
  <si>
    <t>Primary Government</t>
  </si>
  <si>
    <t>Government Activities:</t>
  </si>
  <si>
    <t>General government - administration</t>
  </si>
  <si>
    <t>General government - judicial</t>
  </si>
  <si>
    <t>Public works</t>
  </si>
  <si>
    <t>Culture and recreation</t>
  </si>
  <si>
    <t>Total governmental activities</t>
  </si>
  <si>
    <t>Charges for
Services</t>
  </si>
  <si>
    <t>Operating Grants
and Contributions</t>
  </si>
  <si>
    <t>Captial
Grants</t>
  </si>
  <si>
    <t>Governmental
Activities</t>
  </si>
  <si>
    <t>Program Revenues</t>
  </si>
  <si>
    <t>Primary
Government</t>
  </si>
  <si>
    <t>General revenues:</t>
  </si>
  <si>
    <t>Property taxes</t>
  </si>
  <si>
    <t>Other taxes</t>
  </si>
  <si>
    <t>Interest and investment income</t>
  </si>
  <si>
    <t>Gain on disposal of capital asset</t>
  </si>
  <si>
    <t>Total general revenues</t>
  </si>
  <si>
    <t>Change in Net Position</t>
  </si>
  <si>
    <t>Net Position:</t>
  </si>
  <si>
    <t>Beginning of year</t>
  </si>
  <si>
    <t>End of year</t>
  </si>
  <si>
    <t>General
 Fund</t>
  </si>
  <si>
    <t>Human
 Services</t>
  </si>
  <si>
    <t>Workforce 
Development</t>
  </si>
  <si>
    <t>Operating Grants &amp;
Contributions</t>
  </si>
  <si>
    <t>Capital Grants</t>
  </si>
  <si>
    <t>TOTAL
REVENUES</t>
  </si>
  <si>
    <t>Taxes</t>
  </si>
  <si>
    <t>Lease</t>
  </si>
  <si>
    <t>Front Stmt Adj</t>
  </si>
  <si>
    <t>New General Fund</t>
  </si>
  <si>
    <t>New Capital Projects</t>
  </si>
  <si>
    <t>New Human Services</t>
  </si>
  <si>
    <t>New Workforce Development</t>
  </si>
  <si>
    <t>Front Stmt Adjs</t>
  </si>
  <si>
    <t>New Other Gvt</t>
  </si>
  <si>
    <t>Other Gvt
Total</t>
  </si>
  <si>
    <t>General gvt - admin</t>
  </si>
  <si>
    <t xml:space="preserve">Other   </t>
  </si>
  <si>
    <t>Conservation</t>
  </si>
  <si>
    <t xml:space="preserve">Culture </t>
  </si>
  <si>
    <t>GENERAL FUND - Charges for Services</t>
  </si>
  <si>
    <t>GENERAL FUND - Intergovernmental</t>
  </si>
  <si>
    <t>**NOTE:  If there are adjustments to these accounts on the General Fund-Revenue Sheet…they must be manually adjusted to the following links!</t>
  </si>
  <si>
    <t>Misc Revenue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</si>
</sst>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8"/>
      <color indexed="8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3499862666707357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05">
    <xf numFmtId="0" fontId="0" fillId="0" borderId="0" xfId="0"/>
    <xf numFmtId="17" fontId="0" fillId="0" borderId="0" xfId="0" applyNumberForma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 indent="2"/>
    </xf>
    <xf numFmtId="0" fontId="5" fillId="0" borderId="0" xfId="0" applyFont="1"/>
    <xf numFmtId="164" fontId="0" fillId="0" borderId="0" xfId="0" applyNumberFormat="1"/>
    <xf numFmtId="164" fontId="3" fillId="0" borderId="0" xfId="0" applyNumberFormat="1" applyFont="1" applyAlignment="1">
      <alignment horizontal="center" wrapText="1"/>
    </xf>
    <xf numFmtId="0" fontId="5" fillId="0" borderId="0" xfId="0" quotePrefix="1" applyFont="1"/>
    <xf numFmtId="164" fontId="2" fillId="0" borderId="0" xfId="1" applyNumberFormat="1" applyFont="1"/>
    <xf numFmtId="164" fontId="3" fillId="0" borderId="0" xfId="1" applyNumberFormat="1" applyFont="1" applyAlignment="1">
      <alignment wrapText="1"/>
    </xf>
    <xf numFmtId="164" fontId="3" fillId="0" borderId="0" xfId="1" applyNumberFormat="1" applyFont="1"/>
    <xf numFmtId="164" fontId="6" fillId="0" borderId="0" xfId="1" applyNumberFormat="1" applyFont="1"/>
    <xf numFmtId="0" fontId="6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64" fontId="0" fillId="0" borderId="0" xfId="0" applyNumberFormat="1" applyProtection="1">
      <protection locked="0"/>
    </xf>
    <xf numFmtId="164" fontId="0" fillId="0" borderId="0" xfId="0" applyNumberFormat="1" applyFill="1"/>
    <xf numFmtId="164" fontId="3" fillId="0" borderId="0" xfId="0" applyNumberFormat="1" applyFont="1" applyFill="1" applyAlignment="1">
      <alignment horizontal="center" wrapText="1"/>
    </xf>
    <xf numFmtId="164" fontId="0" fillId="0" borderId="0" xfId="0" applyNumberForma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0" borderId="0" xfId="0" applyNumberFormat="1" applyProtection="1"/>
    <xf numFmtId="164" fontId="0" fillId="2" borderId="1" xfId="0" applyNumberFormat="1" applyFill="1" applyBorder="1" applyProtection="1"/>
    <xf numFmtId="164" fontId="7" fillId="0" borderId="0" xfId="0" applyNumberFormat="1" applyFont="1" applyAlignment="1">
      <alignment horizontal="center"/>
    </xf>
    <xf numFmtId="164" fontId="0" fillId="0" borderId="0" xfId="0" applyNumberFormat="1" applyFill="1" applyBorder="1"/>
    <xf numFmtId="164" fontId="3" fillId="0" borderId="0" xfId="0" applyNumberFormat="1" applyFont="1" applyAlignment="1">
      <alignment horizontal="right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64" fontId="0" fillId="0" borderId="0" xfId="0" applyNumberFormat="1" applyFont="1" applyAlignment="1">
      <alignment horizontal="center" wrapText="1"/>
    </xf>
    <xf numFmtId="164" fontId="0" fillId="3" borderId="0" xfId="0" applyNumberFormat="1" applyFill="1"/>
    <xf numFmtId="164" fontId="0" fillId="2" borderId="0" xfId="0" applyNumberFormat="1" applyFill="1"/>
    <xf numFmtId="17" fontId="6" fillId="0" borderId="0" xfId="0" applyNumberFormat="1" applyFont="1"/>
    <xf numFmtId="164" fontId="2" fillId="0" borderId="0" xfId="1" applyNumberFormat="1" applyFont="1" applyFill="1"/>
    <xf numFmtId="0" fontId="0" fillId="0" borderId="0" xfId="0" applyFill="1"/>
    <xf numFmtId="164" fontId="0" fillId="0" borderId="0" xfId="0" applyNumberFormat="1" applyFill="1" applyBorder="1" applyProtection="1">
      <protection locked="0"/>
    </xf>
    <xf numFmtId="44" fontId="10" fillId="2" borderId="0" xfId="0" applyNumberFormat="1" applyFont="1" applyFill="1"/>
    <xf numFmtId="164" fontId="10" fillId="2" borderId="1" xfId="0" applyNumberFormat="1" applyFont="1" applyFill="1" applyBorder="1"/>
    <xf numFmtId="0" fontId="1" fillId="0" borderId="0" xfId="0" applyFont="1" applyFill="1" applyBorder="1"/>
    <xf numFmtId="0" fontId="1" fillId="0" borderId="0" xfId="0" applyFont="1"/>
    <xf numFmtId="0" fontId="3" fillId="0" borderId="0" xfId="0" applyFont="1" applyFill="1" applyBorder="1"/>
    <xf numFmtId="44" fontId="0" fillId="2" borderId="1" xfId="0" applyNumberFormat="1" applyFill="1" applyBorder="1"/>
    <xf numFmtId="164" fontId="0" fillId="2" borderId="2" xfId="0" applyNumberFormat="1" applyFill="1" applyBorder="1" applyProtection="1">
      <protection locked="0"/>
    </xf>
    <xf numFmtId="164" fontId="0" fillId="2" borderId="0" xfId="0" applyNumberFormat="1" applyFill="1" applyBorder="1"/>
    <xf numFmtId="164" fontId="3" fillId="0" borderId="0" xfId="0" applyNumberFormat="1" applyFont="1" applyFill="1" applyAlignment="1">
      <alignment wrapText="1"/>
    </xf>
    <xf numFmtId="164" fontId="0" fillId="5" borderId="0" xfId="0" applyNumberFormat="1" applyFill="1"/>
    <xf numFmtId="164" fontId="2" fillId="4" borderId="0" xfId="1" applyNumberFormat="1" applyFont="1" applyFill="1"/>
    <xf numFmtId="164" fontId="2" fillId="6" borderId="1" xfId="1" applyNumberFormat="1" applyFont="1" applyFill="1" applyBorder="1"/>
    <xf numFmtId="44" fontId="0" fillId="0" borderId="0" xfId="0" applyNumberFormat="1"/>
    <xf numFmtId="44" fontId="3" fillId="0" borderId="0" xfId="0" applyNumberFormat="1" applyFont="1" applyAlignment="1">
      <alignment horizontal="center" wrapText="1"/>
    </xf>
    <xf numFmtId="44" fontId="10" fillId="2" borderId="1" xfId="0" applyNumberFormat="1" applyFont="1" applyFill="1" applyBorder="1"/>
    <xf numFmtId="44" fontId="0" fillId="2" borderId="3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" xfId="0" applyNumberFormat="1" applyFill="1" applyBorder="1" applyProtection="1"/>
    <xf numFmtId="44" fontId="0" fillId="0" borderId="0" xfId="0" applyNumberFormat="1" applyFill="1" applyBorder="1"/>
    <xf numFmtId="164" fontId="0" fillId="0" borderId="0" xfId="0" applyNumberFormat="1" applyAlignment="1">
      <alignment horizontal="center"/>
    </xf>
    <xf numFmtId="8" fontId="0" fillId="2" borderId="1" xfId="0" applyNumberFormat="1" applyFill="1" applyBorder="1"/>
    <xf numFmtId="8" fontId="0" fillId="2" borderId="1" xfId="0" applyNumberFormat="1" applyFill="1" applyBorder="1" applyProtection="1">
      <protection locked="0"/>
    </xf>
    <xf numFmtId="8" fontId="0" fillId="2" borderId="1" xfId="0" applyNumberFormat="1" applyFill="1" applyBorder="1" applyProtection="1"/>
    <xf numFmtId="4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164" fontId="0" fillId="5" borderId="1" xfId="0" applyNumberFormat="1" applyFill="1" applyBorder="1"/>
    <xf numFmtId="164" fontId="0" fillId="0" borderId="1" xfId="0" applyNumberFormat="1" applyFill="1" applyBorder="1"/>
    <xf numFmtId="164" fontId="0" fillId="2" borderId="3" xfId="0" applyNumberFormat="1" applyFill="1" applyBorder="1"/>
    <xf numFmtId="164" fontId="11" fillId="0" borderId="0" xfId="0" applyNumberFormat="1" applyFont="1" applyFill="1" applyBorder="1"/>
    <xf numFmtId="2" fontId="0" fillId="0" borderId="0" xfId="0" applyNumberFormat="1"/>
    <xf numFmtId="164" fontId="1" fillId="0" borderId="0" xfId="1" applyNumberFormat="1" applyFont="1"/>
    <xf numFmtId="164" fontId="2" fillId="7" borderId="1" xfId="1" applyNumberFormat="1" applyFont="1" applyFill="1" applyBorder="1"/>
    <xf numFmtId="164" fontId="2" fillId="8" borderId="1" xfId="1" applyNumberFormat="1" applyFont="1" applyFill="1" applyBorder="1"/>
    <xf numFmtId="164" fontId="1" fillId="8" borderId="1" xfId="1" applyNumberFormat="1" applyFont="1" applyFill="1" applyBorder="1"/>
    <xf numFmtId="164" fontId="2" fillId="8" borderId="0" xfId="1" applyNumberFormat="1" applyFont="1" applyFill="1"/>
    <xf numFmtId="0" fontId="0" fillId="0" borderId="0" xfId="0" applyAlignment="1">
      <alignment horizontal="center"/>
    </xf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/>
    </xf>
    <xf numFmtId="164" fontId="0" fillId="0" borderId="4" xfId="0" applyNumberFormat="1" applyBorder="1"/>
    <xf numFmtId="164" fontId="2" fillId="9" borderId="1" xfId="1" applyNumberFormat="1" applyFont="1" applyFill="1" applyBorder="1"/>
    <xf numFmtId="0" fontId="13" fillId="0" borderId="0" xfId="0" applyFont="1" applyFill="1" applyBorder="1" applyAlignment="1"/>
    <xf numFmtId="0" fontId="12" fillId="0" borderId="0" xfId="0" applyFont="1"/>
    <xf numFmtId="0" fontId="13" fillId="0" borderId="0" xfId="0" applyFont="1" applyAlignment="1"/>
    <xf numFmtId="164" fontId="2" fillId="8" borderId="1" xfId="1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2" fillId="9" borderId="0" xfId="1" applyNumberFormat="1" applyFont="1" applyFill="1"/>
    <xf numFmtId="164" fontId="0" fillId="0" borderId="0" xfId="0" applyNumberFormat="1" applyAlignment="1">
      <alignment horizontal="right"/>
    </xf>
    <xf numFmtId="0" fontId="3" fillId="0" borderId="0" xfId="0" applyNumberFormat="1" applyFont="1" applyFill="1" applyAlignment="1">
      <alignment wrapText="1"/>
    </xf>
    <xf numFmtId="164" fontId="0" fillId="0" borderId="0" xfId="0" applyNumberFormat="1" applyBorder="1"/>
    <xf numFmtId="164" fontId="2" fillId="0" borderId="1" xfId="1" applyNumberFormat="1" applyFont="1" applyFill="1" applyBorder="1"/>
    <xf numFmtId="44" fontId="0" fillId="0" borderId="1" xfId="0" applyNumberFormat="1" applyFill="1" applyBorder="1" applyProtection="1">
      <protection locked="0"/>
    </xf>
    <xf numFmtId="44" fontId="0" fillId="0" borderId="1" xfId="0" applyNumberFormat="1" applyFill="1" applyBorder="1"/>
    <xf numFmtId="164" fontId="0" fillId="0" borderId="1" xfId="0" applyNumberFormat="1" applyFill="1" applyBorder="1" applyProtection="1">
      <protection locked="0"/>
    </xf>
    <xf numFmtId="164" fontId="0" fillId="0" borderId="3" xfId="0" applyNumberFormat="1" applyFill="1" applyBorder="1"/>
    <xf numFmtId="0" fontId="0" fillId="0" borderId="0" xfId="0" applyAlignment="1">
      <alignment horizontal="left" indent="4"/>
    </xf>
    <xf numFmtId="0" fontId="12" fillId="0" borderId="0" xfId="0" applyFont="1" applyAlignment="1">
      <alignment horizontal="left" indent="2"/>
    </xf>
    <xf numFmtId="0" fontId="0" fillId="0" borderId="0" xfId="0" applyFont="1" applyAlignment="1">
      <alignment horizontal="left" indent="4"/>
    </xf>
    <xf numFmtId="164" fontId="8" fillId="0" borderId="1" xfId="0" applyNumberFormat="1" applyFont="1" applyFill="1" applyBorder="1"/>
    <xf numFmtId="164" fontId="0" fillId="2" borderId="2" xfId="0" applyNumberFormat="1" applyFill="1" applyBorder="1"/>
    <xf numFmtId="164" fontId="0" fillId="0" borderId="1" xfId="0" applyNumberFormat="1" applyBorder="1"/>
    <xf numFmtId="0" fontId="0" fillId="0" borderId="0" xfId="0" applyAlignment="1">
      <alignment horizontal="left"/>
    </xf>
    <xf numFmtId="164" fontId="0" fillId="10" borderId="1" xfId="0" applyNumberFormat="1" applyFill="1" applyBorder="1"/>
    <xf numFmtId="44" fontId="0" fillId="0" borderId="5" xfId="0" applyNumberFormat="1" applyBorder="1" applyAlignment="1">
      <alignment horizontal="center"/>
    </xf>
    <xf numFmtId="44" fontId="9" fillId="0" borderId="0" xfId="1" applyNumberFormat="1" applyFont="1"/>
    <xf numFmtId="44" fontId="0" fillId="0" borderId="5" xfId="0" applyNumberFormat="1" applyBorder="1" applyAlignment="1">
      <alignment horizontal="left"/>
    </xf>
    <xf numFmtId="44" fontId="3" fillId="0" borderId="5" xfId="0" applyNumberFormat="1" applyFont="1" applyBorder="1" applyAlignment="1">
      <alignment horizontal="center" wrapText="1"/>
    </xf>
    <xf numFmtId="44" fontId="3" fillId="0" borderId="0" xfId="0" applyNumberFormat="1" applyFont="1" applyAlignment="1">
      <alignment wrapText="1"/>
    </xf>
    <xf numFmtId="44" fontId="3" fillId="0" borderId="0" xfId="1" applyNumberFormat="1" applyFont="1" applyAlignment="1">
      <alignment wrapText="1"/>
    </xf>
    <xf numFmtId="17" fontId="12" fillId="0" borderId="0" xfId="0" applyNumberFormat="1" applyFont="1" applyAlignment="1">
      <alignment wrapText="1"/>
    </xf>
    <xf numFmtId="0" fontId="4" fillId="0" borderId="0" xfId="0" applyFont="1" applyFill="1" applyBorder="1"/>
    <xf numFmtId="164" fontId="0" fillId="0" borderId="6" xfId="0" applyNumberFormat="1" applyBorder="1"/>
    <xf numFmtId="164" fontId="0" fillId="10" borderId="8" xfId="0" applyNumberFormat="1" applyFill="1" applyBorder="1"/>
    <xf numFmtId="164" fontId="0" fillId="0" borderId="9" xfId="0" applyNumberFormat="1" applyBorder="1"/>
    <xf numFmtId="0" fontId="3" fillId="0" borderId="7" xfId="0" applyFont="1" applyBorder="1"/>
    <xf numFmtId="164" fontId="0" fillId="0" borderId="7" xfId="0" applyNumberFormat="1" applyBorder="1"/>
    <xf numFmtId="164" fontId="0" fillId="0" borderId="7" xfId="0" applyNumberFormat="1" applyFill="1" applyBorder="1"/>
    <xf numFmtId="164" fontId="0" fillId="0" borderId="10" xfId="0" applyNumberFormat="1" applyFill="1" applyBorder="1"/>
    <xf numFmtId="0" fontId="0" fillId="0" borderId="7" xfId="0" applyBorder="1"/>
    <xf numFmtId="44" fontId="0" fillId="0" borderId="12" xfId="0" applyNumberFormat="1" applyBorder="1" applyAlignment="1">
      <alignment horizontal="center"/>
    </xf>
    <xf numFmtId="44" fontId="0" fillId="0" borderId="7" xfId="0" applyNumberFormat="1" applyBorder="1"/>
    <xf numFmtId="164" fontId="0" fillId="0" borderId="5" xfId="0" applyNumberFormat="1" applyBorder="1" applyAlignment="1">
      <alignment horizontal="center"/>
    </xf>
    <xf numFmtId="164" fontId="14" fillId="0" borderId="0" xfId="1" applyNumberFormat="1" applyFont="1"/>
    <xf numFmtId="164" fontId="0" fillId="0" borderId="0" xfId="0" applyNumberFormat="1" applyFill="1" applyAlignment="1">
      <alignment horizontal="left"/>
    </xf>
    <xf numFmtId="164" fontId="3" fillId="0" borderId="0" xfId="0" applyNumberFormat="1" applyFont="1" applyAlignment="1">
      <alignment horizontal="left" wrapText="1"/>
    </xf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right"/>
    </xf>
    <xf numFmtId="164" fontId="1" fillId="6" borderId="1" xfId="1" applyNumberFormat="1" applyFont="1" applyFill="1" applyBorder="1"/>
    <xf numFmtId="164" fontId="2" fillId="11" borderId="1" xfId="1" applyNumberFormat="1" applyFont="1" applyFill="1" applyBorder="1"/>
    <xf numFmtId="0" fontId="12" fillId="0" borderId="0" xfId="0" applyFont="1" applyAlignment="1">
      <alignment horizontal="center" wrapText="1"/>
    </xf>
    <xf numFmtId="164" fontId="0" fillId="9" borderId="11" xfId="0" applyNumberFormat="1" applyFill="1" applyBorder="1"/>
    <xf numFmtId="164" fontId="0" fillId="9" borderId="7" xfId="0" applyNumberFormat="1" applyFill="1" applyBorder="1"/>
    <xf numFmtId="44" fontId="0" fillId="9" borderId="12" xfId="0" applyNumberFormat="1" applyFill="1" applyBorder="1" applyAlignment="1">
      <alignment horizontal="center"/>
    </xf>
    <xf numFmtId="164" fontId="0" fillId="9" borderId="0" xfId="0" applyNumberFormat="1" applyFill="1"/>
    <xf numFmtId="164" fontId="0" fillId="10" borderId="1" xfId="0" applyNumberFormat="1" applyFill="1" applyBorder="1" applyProtection="1">
      <protection locked="0"/>
    </xf>
    <xf numFmtId="164" fontId="0" fillId="0" borderId="0" xfId="0" applyNumberFormat="1" applyFill="1" applyBorder="1" applyAlignment="1">
      <alignment horizontal="right"/>
    </xf>
    <xf numFmtId="0" fontId="17" fillId="0" borderId="0" xfId="0" applyFont="1"/>
    <xf numFmtId="164" fontId="0" fillId="0" borderId="0" xfId="0" applyNumberFormat="1" applyFont="1"/>
    <xf numFmtId="0" fontId="0" fillId="0" borderId="0" xfId="0" applyFont="1"/>
    <xf numFmtId="17" fontId="0" fillId="0" borderId="0" xfId="0" applyNumberFormat="1" applyFont="1"/>
    <xf numFmtId="0" fontId="0" fillId="0" borderId="0" xfId="0" applyFont="1" applyAlignment="1">
      <alignment horizontal="left" indent="2"/>
    </xf>
    <xf numFmtId="164" fontId="0" fillId="2" borderId="1" xfId="0" applyNumberFormat="1" applyFont="1" applyFill="1" applyBorder="1"/>
    <xf numFmtId="164" fontId="0" fillId="0" borderId="0" xfId="0" applyNumberFormat="1" applyFont="1" applyAlignment="1">
      <alignment horizontal="center"/>
    </xf>
    <xf numFmtId="44" fontId="12" fillId="0" borderId="7" xfId="0" applyNumberFormat="1" applyFont="1" applyBorder="1"/>
    <xf numFmtId="44" fontId="0" fillId="0" borderId="0" xfId="0" applyNumberFormat="1" applyFill="1"/>
    <xf numFmtId="44" fontId="12" fillId="0" borderId="7" xfId="0" applyNumberFormat="1" applyFont="1" applyFill="1" applyBorder="1"/>
    <xf numFmtId="0" fontId="18" fillId="0" borderId="0" xfId="0" applyFont="1"/>
    <xf numFmtId="44" fontId="12" fillId="0" borderId="0" xfId="0" applyNumberFormat="1" applyFont="1" applyAlignment="1">
      <alignment wrapText="1"/>
    </xf>
    <xf numFmtId="44" fontId="12" fillId="0" borderId="13" xfId="0" applyNumberFormat="1" applyFont="1" applyBorder="1"/>
    <xf numFmtId="4" fontId="0" fillId="0" borderId="0" xfId="0" applyNumberFormat="1"/>
    <xf numFmtId="164" fontId="12" fillId="0" borderId="7" xfId="0" applyNumberFormat="1" applyFont="1" applyBorder="1"/>
    <xf numFmtId="0" fontId="13" fillId="0" borderId="0" xfId="0" applyFont="1"/>
    <xf numFmtId="4" fontId="12" fillId="0" borderId="7" xfId="0" applyNumberFormat="1" applyFont="1" applyBorder="1"/>
    <xf numFmtId="44" fontId="12" fillId="0" borderId="0" xfId="0" applyNumberFormat="1" applyFont="1" applyFill="1"/>
    <xf numFmtId="44" fontId="12" fillId="0" borderId="0" xfId="0" applyNumberFormat="1" applyFont="1"/>
    <xf numFmtId="44" fontId="0" fillId="9" borderId="0" xfId="0" applyNumberFormat="1" applyFill="1"/>
    <xf numFmtId="0" fontId="0" fillId="0" borderId="0" xfId="0" applyNumberFormat="1" applyAlignment="1">
      <alignment horizontal="left"/>
    </xf>
    <xf numFmtId="0" fontId="0" fillId="9" borderId="0" xfId="0" applyFill="1"/>
    <xf numFmtId="44" fontId="0" fillId="12" borderId="0" xfId="0" applyNumberFormat="1" applyFill="1"/>
    <xf numFmtId="44" fontId="12" fillId="12" borderId="7" xfId="0" applyNumberFormat="1" applyFont="1" applyFill="1" applyBorder="1"/>
    <xf numFmtId="4" fontId="0" fillId="0" borderId="14" xfId="0" applyNumberFormat="1" applyBorder="1"/>
    <xf numFmtId="4" fontId="12" fillId="0" borderId="13" xfId="0" applyNumberFormat="1" applyFont="1" applyBorder="1"/>
    <xf numFmtId="44" fontId="0" fillId="12" borderId="0" xfId="0" applyNumberFormat="1" applyFill="1" applyBorder="1"/>
    <xf numFmtId="4" fontId="0" fillId="12" borderId="0" xfId="0" applyNumberFormat="1" applyFill="1"/>
    <xf numFmtId="4" fontId="0" fillId="0" borderId="0" xfId="0" applyNumberFormat="1" applyFill="1"/>
    <xf numFmtId="44" fontId="0" fillId="13" borderId="0" xfId="0" applyNumberFormat="1" applyFill="1"/>
    <xf numFmtId="0" fontId="0" fillId="0" borderId="0" xfId="0" applyAlignment="1">
      <alignment horizontal="right"/>
    </xf>
    <xf numFmtId="44" fontId="0" fillId="0" borderId="15" xfId="0" applyNumberFormat="1" applyFill="1" applyBorder="1"/>
    <xf numFmtId="0" fontId="12" fillId="0" borderId="7" xfId="0" applyFont="1" applyBorder="1"/>
    <xf numFmtId="0" fontId="0" fillId="0" borderId="16" xfId="0" applyBorder="1"/>
    <xf numFmtId="44" fontId="0" fillId="0" borderId="17" xfId="0" applyNumberFormat="1" applyFill="1" applyBorder="1"/>
    <xf numFmtId="44" fontId="0" fillId="0" borderId="14" xfId="0" applyNumberFormat="1" applyBorder="1"/>
    <xf numFmtId="0" fontId="0" fillId="0" borderId="18" xfId="0" applyBorder="1"/>
    <xf numFmtId="164" fontId="11" fillId="0" borderId="1" xfId="0" applyNumberFormat="1" applyFont="1" applyFill="1" applyBorder="1"/>
    <xf numFmtId="0" fontId="12" fillId="0" borderId="14" xfId="0" applyFont="1" applyBorder="1" applyAlignment="1">
      <alignment horizontal="center"/>
    </xf>
    <xf numFmtId="44" fontId="12" fillId="0" borderId="14" xfId="0" applyNumberFormat="1" applyFont="1" applyBorder="1"/>
    <xf numFmtId="44" fontId="12" fillId="0" borderId="14" xfId="0" applyNumberFormat="1" applyFont="1" applyBorder="1" applyAlignment="1">
      <alignment wrapText="1"/>
    </xf>
    <xf numFmtId="44" fontId="0" fillId="0" borderId="14" xfId="0" applyNumberFormat="1" applyBorder="1" applyAlignment="1">
      <alignment wrapText="1"/>
    </xf>
    <xf numFmtId="44" fontId="0" fillId="0" borderId="13" xfId="0" applyNumberFormat="1" applyBorder="1"/>
    <xf numFmtId="0" fontId="12" fillId="0" borderId="0" xfId="0" applyFont="1" applyAlignment="1">
      <alignment wrapText="1"/>
    </xf>
    <xf numFmtId="44" fontId="12" fillId="0" borderId="0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44" fontId="3" fillId="0" borderId="0" xfId="0" applyNumberFormat="1" applyFont="1" applyFill="1" applyAlignment="1">
      <alignment horizontal="center" wrapText="1"/>
    </xf>
    <xf numFmtId="44" fontId="12" fillId="0" borderId="0" xfId="0" applyNumberFormat="1" applyFont="1" applyAlignment="1">
      <alignment horizontal="center" wrapText="1"/>
    </xf>
    <xf numFmtId="44" fontId="12" fillId="0" borderId="0" xfId="0" applyNumberFormat="1" applyFont="1" applyAlignment="1">
      <alignment horizontal="center" vertical="center" wrapText="1"/>
    </xf>
    <xf numFmtId="44" fontId="0" fillId="10" borderId="1" xfId="0" applyNumberFormat="1" applyFill="1" applyBorder="1"/>
    <xf numFmtId="0" fontId="12" fillId="0" borderId="0" xfId="0" applyFont="1" applyBorder="1" applyAlignment="1">
      <alignment horizontal="center" vertical="center" wrapText="1"/>
    </xf>
    <xf numFmtId="44" fontId="0" fillId="14" borderId="0" xfId="0" applyNumberFormat="1" applyFill="1"/>
    <xf numFmtId="44" fontId="0" fillId="15" borderId="0" xfId="0" applyNumberFormat="1" applyFill="1"/>
    <xf numFmtId="44" fontId="0" fillId="16" borderId="0" xfId="0" applyNumberFormat="1" applyFill="1"/>
    <xf numFmtId="44" fontId="0" fillId="17" borderId="0" xfId="0" applyNumberFormat="1" applyFill="1"/>
    <xf numFmtId="44" fontId="0" fillId="18" borderId="0" xfId="0" applyNumberFormat="1" applyFill="1"/>
    <xf numFmtId="44" fontId="0" fillId="19" borderId="0" xfId="0" applyNumberFormat="1" applyFill="1"/>
    <xf numFmtId="44" fontId="0" fillId="20" borderId="0" xfId="0" applyNumberFormat="1" applyFill="1"/>
    <xf numFmtId="44" fontId="19" fillId="0" borderId="0" xfId="0" applyNumberFormat="1" applyFont="1"/>
    <xf numFmtId="44" fontId="0" fillId="0" borderId="8" xfId="0" applyNumberFormat="1" applyBorder="1"/>
    <xf numFmtId="44" fontId="0" fillId="0" borderId="19" xfId="0" applyNumberFormat="1" applyBorder="1"/>
    <xf numFmtId="44" fontId="0" fillId="0" borderId="4" xfId="0" applyNumberFormat="1" applyBorder="1"/>
    <xf numFmtId="44" fontId="0" fillId="0" borderId="1" xfId="0" applyNumberFormat="1" applyBorder="1"/>
    <xf numFmtId="44" fontId="0" fillId="0" borderId="0" xfId="0" applyNumberFormat="1" applyBorder="1"/>
    <xf numFmtId="164" fontId="2" fillId="0" borderId="0" xfId="1" applyNumberFormat="1" applyFont="1" applyFill="1" applyBorder="1"/>
    <xf numFmtId="164" fontId="2" fillId="0" borderId="8" xfId="1" applyNumberFormat="1" applyFont="1" applyFill="1" applyBorder="1"/>
    <xf numFmtId="164" fontId="2" fillId="0" borderId="19" xfId="1" applyNumberFormat="1" applyFont="1" applyFill="1" applyBorder="1"/>
    <xf numFmtId="164" fontId="2" fillId="0" borderId="4" xfId="1" applyNumberFormat="1" applyFont="1" applyFill="1" applyBorder="1"/>
    <xf numFmtId="44" fontId="12" fillId="0" borderId="0" xfId="0" applyNumberFormat="1" applyFont="1" applyAlignment="1">
      <alignment horizontal="center"/>
    </xf>
    <xf numFmtId="164" fontId="1" fillId="0" borderId="1" xfId="1" applyNumberFormat="1" applyFont="1" applyFill="1" applyBorder="1"/>
    <xf numFmtId="44" fontId="20" fillId="20" borderId="0" xfId="0" applyNumberFormat="1" applyFont="1" applyFill="1"/>
    <xf numFmtId="164" fontId="3" fillId="9" borderId="0" xfId="1" applyNumberFormat="1" applyFont="1" applyFill="1" applyAlignment="1">
      <alignment wrapText="1"/>
    </xf>
    <xf numFmtId="164" fontId="3" fillId="9" borderId="0" xfId="1" applyNumberFormat="1" applyFont="1" applyFill="1"/>
    <xf numFmtId="44" fontId="12" fillId="9" borderId="0" xfId="0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73</xdr:row>
      <xdr:rowOff>66675</xdr:rowOff>
    </xdr:from>
    <xdr:to>
      <xdr:col>5</xdr:col>
      <xdr:colOff>0</xdr:colOff>
      <xdr:row>74</xdr:row>
      <xdr:rowOff>9525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4848225" y="14658975"/>
          <a:ext cx="609600" cy="1333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73</xdr:row>
      <xdr:rowOff>9525</xdr:rowOff>
    </xdr:from>
    <xdr:to>
      <xdr:col>7</xdr:col>
      <xdr:colOff>276225</xdr:colOff>
      <xdr:row>74</xdr:row>
      <xdr:rowOff>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flipH="1">
          <a:off x="6505575" y="14601825"/>
          <a:ext cx="1143000" cy="180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809625</xdr:colOff>
      <xdr:row>73</xdr:row>
      <xdr:rowOff>19050</xdr:rowOff>
    </xdr:from>
    <xdr:to>
      <xdr:col>9</xdr:col>
      <xdr:colOff>219075</xdr:colOff>
      <xdr:row>74</xdr:row>
      <xdr:rowOff>123825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9105900" y="14611350"/>
          <a:ext cx="333375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73</xdr:row>
      <xdr:rowOff>9525</xdr:rowOff>
    </xdr:from>
    <xdr:to>
      <xdr:col>11</xdr:col>
      <xdr:colOff>333375</xdr:colOff>
      <xdr:row>74</xdr:row>
      <xdr:rowOff>123825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 flipH="1">
          <a:off x="10153650" y="14601825"/>
          <a:ext cx="1123950" cy="3048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571500</xdr:colOff>
      <xdr:row>72</xdr:row>
      <xdr:rowOff>169334</xdr:rowOff>
    </xdr:from>
    <xdr:to>
      <xdr:col>13</xdr:col>
      <xdr:colOff>42334</xdr:colOff>
      <xdr:row>76</xdr:row>
      <xdr:rowOff>10584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10720917" y="14562667"/>
          <a:ext cx="2095500" cy="603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656167</xdr:colOff>
      <xdr:row>63</xdr:row>
      <xdr:rowOff>169334</xdr:rowOff>
    </xdr:from>
    <xdr:to>
      <xdr:col>15</xdr:col>
      <xdr:colOff>656168</xdr:colOff>
      <xdr:row>75</xdr:row>
      <xdr:rowOff>158750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>
        <a:xfrm flipH="1">
          <a:off x="13430250" y="12848167"/>
          <a:ext cx="1545168" cy="227541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6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7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6" Type="http://schemas.openxmlformats.org/officeDocument/2006/relationships/printerSettings" Target="../printerSettings/printerSettings25.bin"/><Relationship Id="rId5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23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29.bin"/><Relationship Id="rId7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6" Type="http://schemas.openxmlformats.org/officeDocument/2006/relationships/printerSettings" Target="../printerSettings/printerSettings32.bin"/><Relationship Id="rId5" Type="http://schemas.openxmlformats.org/officeDocument/2006/relationships/printerSettings" Target="../printerSettings/printerSettings31.bin"/><Relationship Id="rId4" Type="http://schemas.openxmlformats.org/officeDocument/2006/relationships/printerSettings" Target="../printerSettings/printerSettings30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2.vml"/><Relationship Id="rId3" Type="http://schemas.openxmlformats.org/officeDocument/2006/relationships/printerSettings" Target="../printerSettings/printerSettings36.bin"/><Relationship Id="rId7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6" Type="http://schemas.openxmlformats.org/officeDocument/2006/relationships/printerSettings" Target="../printerSettings/printerSettings39.bin"/><Relationship Id="rId5" Type="http://schemas.openxmlformats.org/officeDocument/2006/relationships/printerSettings" Target="../printerSettings/printerSettings38.bin"/><Relationship Id="rId4" Type="http://schemas.openxmlformats.org/officeDocument/2006/relationships/printerSettings" Target="../printerSettings/printerSettings37.bin"/><Relationship Id="rId9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6" Type="http://schemas.openxmlformats.org/officeDocument/2006/relationships/printerSettings" Target="../printerSettings/printerSettings46.bin"/><Relationship Id="rId5" Type="http://schemas.openxmlformats.org/officeDocument/2006/relationships/printerSettings" Target="../printerSettings/printerSettings45.bin"/><Relationship Id="rId4" Type="http://schemas.openxmlformats.org/officeDocument/2006/relationships/printerSettings" Target="../printerSettings/printerSettings44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omments" Target="../comments3.xml"/><Relationship Id="rId3" Type="http://schemas.openxmlformats.org/officeDocument/2006/relationships/printerSettings" Target="../printerSettings/printerSettings49.bin"/><Relationship Id="rId7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Relationship Id="rId6" Type="http://schemas.openxmlformats.org/officeDocument/2006/relationships/printerSettings" Target="../printerSettings/printerSettings52.bin"/><Relationship Id="rId5" Type="http://schemas.openxmlformats.org/officeDocument/2006/relationships/printerSettings" Target="../printerSettings/printerSettings51.bin"/><Relationship Id="rId4" Type="http://schemas.openxmlformats.org/officeDocument/2006/relationships/printerSettings" Target="../printerSettings/printerSettings50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omments" Target="../comments4.xml"/><Relationship Id="rId3" Type="http://schemas.openxmlformats.org/officeDocument/2006/relationships/printerSettings" Target="../printerSettings/printerSettings55.bin"/><Relationship Id="rId7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6" Type="http://schemas.openxmlformats.org/officeDocument/2006/relationships/printerSettings" Target="../printerSettings/printerSettings58.bin"/><Relationship Id="rId5" Type="http://schemas.openxmlformats.org/officeDocument/2006/relationships/printerSettings" Target="../printerSettings/printerSettings57.bin"/><Relationship Id="rId4" Type="http://schemas.openxmlformats.org/officeDocument/2006/relationships/printerSettings" Target="../printerSettings/printerSettings56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omments" Target="../comments5.xml"/><Relationship Id="rId3" Type="http://schemas.openxmlformats.org/officeDocument/2006/relationships/printerSettings" Target="../printerSettings/printerSettings61.bin"/><Relationship Id="rId7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60.bin"/><Relationship Id="rId1" Type="http://schemas.openxmlformats.org/officeDocument/2006/relationships/printerSettings" Target="../printerSettings/printerSettings59.bin"/><Relationship Id="rId6" Type="http://schemas.openxmlformats.org/officeDocument/2006/relationships/printerSettings" Target="../printerSettings/printerSettings64.bin"/><Relationship Id="rId5" Type="http://schemas.openxmlformats.org/officeDocument/2006/relationships/printerSettings" Target="../printerSettings/printerSettings63.bin"/><Relationship Id="rId4" Type="http://schemas.openxmlformats.org/officeDocument/2006/relationships/printerSettings" Target="../printerSettings/printerSettings62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7.bin"/><Relationship Id="rId2" Type="http://schemas.openxmlformats.org/officeDocument/2006/relationships/printerSettings" Target="../printerSettings/printerSettings66.bin"/><Relationship Id="rId1" Type="http://schemas.openxmlformats.org/officeDocument/2006/relationships/printerSettings" Target="../printerSettings/printerSettings65.bin"/><Relationship Id="rId6" Type="http://schemas.openxmlformats.org/officeDocument/2006/relationships/printerSettings" Target="../printerSettings/printerSettings70.bin"/><Relationship Id="rId5" Type="http://schemas.openxmlformats.org/officeDocument/2006/relationships/printerSettings" Target="../printerSettings/printerSettings69.bin"/><Relationship Id="rId4" Type="http://schemas.openxmlformats.org/officeDocument/2006/relationships/printerSettings" Target="../printerSettings/printerSettings68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comments" Target="../comments6.xml"/><Relationship Id="rId3" Type="http://schemas.openxmlformats.org/officeDocument/2006/relationships/printerSettings" Target="../printerSettings/printerSettings73.bin"/><Relationship Id="rId7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72.bin"/><Relationship Id="rId1" Type="http://schemas.openxmlformats.org/officeDocument/2006/relationships/printerSettings" Target="../printerSettings/printerSettings71.bin"/><Relationship Id="rId6" Type="http://schemas.openxmlformats.org/officeDocument/2006/relationships/printerSettings" Target="../printerSettings/printerSettings76.bin"/><Relationship Id="rId5" Type="http://schemas.openxmlformats.org/officeDocument/2006/relationships/printerSettings" Target="../printerSettings/printerSettings75.bin"/><Relationship Id="rId4" Type="http://schemas.openxmlformats.org/officeDocument/2006/relationships/printerSettings" Target="../printerSettings/printerSettings74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comments" Target="../comments7.xml"/><Relationship Id="rId3" Type="http://schemas.openxmlformats.org/officeDocument/2006/relationships/printerSettings" Target="../printerSettings/printerSettings79.bin"/><Relationship Id="rId7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8.bin"/><Relationship Id="rId1" Type="http://schemas.openxmlformats.org/officeDocument/2006/relationships/printerSettings" Target="../printerSettings/printerSettings77.bin"/><Relationship Id="rId6" Type="http://schemas.openxmlformats.org/officeDocument/2006/relationships/printerSettings" Target="../printerSettings/printerSettings82.bin"/><Relationship Id="rId5" Type="http://schemas.openxmlformats.org/officeDocument/2006/relationships/printerSettings" Target="../printerSettings/printerSettings81.bin"/><Relationship Id="rId4" Type="http://schemas.openxmlformats.org/officeDocument/2006/relationships/printerSettings" Target="../printerSettings/printerSettings80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5.bin"/><Relationship Id="rId2" Type="http://schemas.openxmlformats.org/officeDocument/2006/relationships/printerSettings" Target="../printerSettings/printerSettings84.bin"/><Relationship Id="rId1" Type="http://schemas.openxmlformats.org/officeDocument/2006/relationships/printerSettings" Target="../printerSettings/printerSettings83.bin"/><Relationship Id="rId6" Type="http://schemas.openxmlformats.org/officeDocument/2006/relationships/printerSettings" Target="../printerSettings/printerSettings88.bin"/><Relationship Id="rId5" Type="http://schemas.openxmlformats.org/officeDocument/2006/relationships/printerSettings" Target="../printerSettings/printerSettings87.bin"/><Relationship Id="rId4" Type="http://schemas.openxmlformats.org/officeDocument/2006/relationships/printerSettings" Target="../printerSettings/printerSettings86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1.bin"/><Relationship Id="rId7" Type="http://schemas.openxmlformats.org/officeDocument/2006/relationships/printerSettings" Target="../printerSettings/printerSettings95.bin"/><Relationship Id="rId2" Type="http://schemas.openxmlformats.org/officeDocument/2006/relationships/printerSettings" Target="../printerSettings/printerSettings90.bin"/><Relationship Id="rId1" Type="http://schemas.openxmlformats.org/officeDocument/2006/relationships/printerSettings" Target="../printerSettings/printerSettings89.bin"/><Relationship Id="rId6" Type="http://schemas.openxmlformats.org/officeDocument/2006/relationships/printerSettings" Target="../printerSettings/printerSettings94.bin"/><Relationship Id="rId5" Type="http://schemas.openxmlformats.org/officeDocument/2006/relationships/printerSettings" Target="../printerSettings/printerSettings93.bin"/><Relationship Id="rId4" Type="http://schemas.openxmlformats.org/officeDocument/2006/relationships/printerSettings" Target="../printerSettings/printerSettings92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8.bin"/><Relationship Id="rId7" Type="http://schemas.openxmlformats.org/officeDocument/2006/relationships/printerSettings" Target="../printerSettings/printerSettings102.bin"/><Relationship Id="rId2" Type="http://schemas.openxmlformats.org/officeDocument/2006/relationships/printerSettings" Target="../printerSettings/printerSettings97.bin"/><Relationship Id="rId1" Type="http://schemas.openxmlformats.org/officeDocument/2006/relationships/printerSettings" Target="../printerSettings/printerSettings96.bin"/><Relationship Id="rId6" Type="http://schemas.openxmlformats.org/officeDocument/2006/relationships/printerSettings" Target="../printerSettings/printerSettings101.bin"/><Relationship Id="rId5" Type="http://schemas.openxmlformats.org/officeDocument/2006/relationships/printerSettings" Target="../printerSettings/printerSettings100.bin"/><Relationship Id="rId4" Type="http://schemas.openxmlformats.org/officeDocument/2006/relationships/printerSettings" Target="../printerSettings/printerSettings99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5.bin"/><Relationship Id="rId7" Type="http://schemas.openxmlformats.org/officeDocument/2006/relationships/printerSettings" Target="../printerSettings/printerSettings109.bin"/><Relationship Id="rId2" Type="http://schemas.openxmlformats.org/officeDocument/2006/relationships/printerSettings" Target="../printerSettings/printerSettings104.bin"/><Relationship Id="rId1" Type="http://schemas.openxmlformats.org/officeDocument/2006/relationships/printerSettings" Target="../printerSettings/printerSettings103.bin"/><Relationship Id="rId6" Type="http://schemas.openxmlformats.org/officeDocument/2006/relationships/printerSettings" Target="../printerSettings/printerSettings108.bin"/><Relationship Id="rId5" Type="http://schemas.openxmlformats.org/officeDocument/2006/relationships/printerSettings" Target="../printerSettings/printerSettings107.bin"/><Relationship Id="rId4" Type="http://schemas.openxmlformats.org/officeDocument/2006/relationships/printerSettings" Target="../printerSettings/printerSettings106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2.bin"/><Relationship Id="rId7" Type="http://schemas.openxmlformats.org/officeDocument/2006/relationships/printerSettings" Target="../printerSettings/printerSettings116.bin"/><Relationship Id="rId2" Type="http://schemas.openxmlformats.org/officeDocument/2006/relationships/printerSettings" Target="../printerSettings/printerSettings111.bin"/><Relationship Id="rId1" Type="http://schemas.openxmlformats.org/officeDocument/2006/relationships/printerSettings" Target="../printerSettings/printerSettings110.bin"/><Relationship Id="rId6" Type="http://schemas.openxmlformats.org/officeDocument/2006/relationships/printerSettings" Target="../printerSettings/printerSettings115.bin"/><Relationship Id="rId5" Type="http://schemas.openxmlformats.org/officeDocument/2006/relationships/printerSettings" Target="../printerSettings/printerSettings114.bin"/><Relationship Id="rId4" Type="http://schemas.openxmlformats.org/officeDocument/2006/relationships/printerSettings" Target="../printerSettings/printerSettings113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9.bin"/><Relationship Id="rId7" Type="http://schemas.openxmlformats.org/officeDocument/2006/relationships/printerSettings" Target="../printerSettings/printerSettings123.bin"/><Relationship Id="rId2" Type="http://schemas.openxmlformats.org/officeDocument/2006/relationships/printerSettings" Target="../printerSettings/printerSettings118.bin"/><Relationship Id="rId1" Type="http://schemas.openxmlformats.org/officeDocument/2006/relationships/printerSettings" Target="../printerSettings/printerSettings117.bin"/><Relationship Id="rId6" Type="http://schemas.openxmlformats.org/officeDocument/2006/relationships/printerSettings" Target="../printerSettings/printerSettings122.bin"/><Relationship Id="rId5" Type="http://schemas.openxmlformats.org/officeDocument/2006/relationships/printerSettings" Target="../printerSettings/printerSettings121.bin"/><Relationship Id="rId4" Type="http://schemas.openxmlformats.org/officeDocument/2006/relationships/printerSettings" Target="../printerSettings/printerSettings1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6.bin"/><Relationship Id="rId7" Type="http://schemas.openxmlformats.org/officeDocument/2006/relationships/printerSettings" Target="../printerSettings/printerSettings130.bin"/><Relationship Id="rId2" Type="http://schemas.openxmlformats.org/officeDocument/2006/relationships/printerSettings" Target="../printerSettings/printerSettings125.bin"/><Relationship Id="rId1" Type="http://schemas.openxmlformats.org/officeDocument/2006/relationships/printerSettings" Target="../printerSettings/printerSettings124.bin"/><Relationship Id="rId6" Type="http://schemas.openxmlformats.org/officeDocument/2006/relationships/printerSettings" Target="../printerSettings/printerSettings129.bin"/><Relationship Id="rId5" Type="http://schemas.openxmlformats.org/officeDocument/2006/relationships/printerSettings" Target="../printerSettings/printerSettings128.bin"/><Relationship Id="rId4" Type="http://schemas.openxmlformats.org/officeDocument/2006/relationships/printerSettings" Target="../printerSettings/printerSettings127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3.bin"/><Relationship Id="rId7" Type="http://schemas.openxmlformats.org/officeDocument/2006/relationships/printerSettings" Target="../printerSettings/printerSettings137.bin"/><Relationship Id="rId2" Type="http://schemas.openxmlformats.org/officeDocument/2006/relationships/printerSettings" Target="../printerSettings/printerSettings132.bin"/><Relationship Id="rId1" Type="http://schemas.openxmlformats.org/officeDocument/2006/relationships/printerSettings" Target="../printerSettings/printerSettings131.bin"/><Relationship Id="rId6" Type="http://schemas.openxmlformats.org/officeDocument/2006/relationships/printerSettings" Target="../printerSettings/printerSettings136.bin"/><Relationship Id="rId5" Type="http://schemas.openxmlformats.org/officeDocument/2006/relationships/printerSettings" Target="../printerSettings/printerSettings135.bin"/><Relationship Id="rId4" Type="http://schemas.openxmlformats.org/officeDocument/2006/relationships/printerSettings" Target="../printerSettings/printerSettings134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9.bin"/><Relationship Id="rId1" Type="http://schemas.openxmlformats.org/officeDocument/2006/relationships/printerSettings" Target="../printerSettings/printerSettings13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1.bin"/><Relationship Id="rId1" Type="http://schemas.openxmlformats.org/officeDocument/2006/relationships/printerSettings" Target="../printerSettings/printerSettings140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3.bin"/><Relationship Id="rId1" Type="http://schemas.openxmlformats.org/officeDocument/2006/relationships/printerSettings" Target="../printerSettings/printerSettings14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2"/>
  <sheetViews>
    <sheetView zoomScaleNormal="100" workbookViewId="0">
      <pane xSplit="1" ySplit="6" topLeftCell="B48" activePane="bottomRight" state="frozen"/>
      <selection pane="topRight" activeCell="B1" sqref="B1"/>
      <selection pane="bottomLeft" activeCell="A7" sqref="A7"/>
      <selection pane="bottomRight" activeCell="B61" sqref="B61"/>
    </sheetView>
  </sheetViews>
  <sheetFormatPr defaultRowHeight="15" x14ac:dyDescent="0.25"/>
  <cols>
    <col min="1" max="1" width="33.140625" customWidth="1"/>
    <col min="2" max="2" width="16.140625" style="6" bestFit="1" customWidth="1"/>
    <col min="3" max="3" width="19.85546875" style="17" bestFit="1" customWidth="1"/>
    <col min="4" max="4" width="20.140625" style="17" bestFit="1" customWidth="1"/>
    <col min="5" max="5" width="20.140625" style="17" customWidth="1"/>
    <col min="6" max="6" width="19.140625" style="17" bestFit="1" customWidth="1"/>
    <col min="7" max="7" width="15.7109375" style="6" customWidth="1"/>
    <col min="8" max="8" width="34.85546875" style="98" customWidth="1"/>
    <col min="9" max="9" width="15.140625" style="48" customWidth="1"/>
    <col min="10" max="10" width="13.85546875" style="48" bestFit="1" customWidth="1"/>
    <col min="11" max="11" width="15" style="48" customWidth="1"/>
    <col min="12" max="12" width="16.28515625" style="99" bestFit="1" customWidth="1"/>
    <col min="13" max="13" width="16.28515625" style="99" customWidth="1"/>
    <col min="14" max="14" width="18.7109375" style="48" bestFit="1" customWidth="1"/>
    <col min="15" max="15" width="20" style="48" customWidth="1"/>
    <col min="16" max="16" width="16" style="48" customWidth="1"/>
    <col min="17" max="17" width="15.28515625" bestFit="1" customWidth="1"/>
    <col min="18" max="18" width="20.5703125" bestFit="1" customWidth="1"/>
    <col min="20" max="20" width="12.7109375" bestFit="1" customWidth="1"/>
  </cols>
  <sheetData>
    <row r="1" spans="1:18" ht="23.25" x14ac:dyDescent="0.35">
      <c r="A1" s="5" t="s">
        <v>186</v>
      </c>
    </row>
    <row r="2" spans="1:18" x14ac:dyDescent="0.25">
      <c r="A2" t="s">
        <v>1</v>
      </c>
    </row>
    <row r="3" spans="1:18" x14ac:dyDescent="0.25">
      <c r="A3" s="1">
        <v>43435</v>
      </c>
    </row>
    <row r="4" spans="1:18" x14ac:dyDescent="0.25">
      <c r="A4" s="1" t="s">
        <v>230</v>
      </c>
    </row>
    <row r="5" spans="1:18" x14ac:dyDescent="0.25">
      <c r="A5" s="1"/>
      <c r="H5" s="100" t="s">
        <v>379</v>
      </c>
    </row>
    <row r="6" spans="1:18" s="2" customFormat="1" ht="60" x14ac:dyDescent="0.25">
      <c r="B6" s="14" t="s">
        <v>191</v>
      </c>
      <c r="C6" s="44" t="s">
        <v>242</v>
      </c>
      <c r="D6" s="44" t="s">
        <v>192</v>
      </c>
      <c r="E6" s="83" t="s">
        <v>358</v>
      </c>
      <c r="F6" s="44" t="s">
        <v>187</v>
      </c>
      <c r="G6" s="14" t="s">
        <v>188</v>
      </c>
      <c r="H6" s="101" t="s">
        <v>378</v>
      </c>
      <c r="I6" s="102" t="s">
        <v>380</v>
      </c>
      <c r="J6" s="102" t="s">
        <v>381</v>
      </c>
      <c r="K6" s="102" t="s">
        <v>382</v>
      </c>
      <c r="L6" s="103" t="s">
        <v>383</v>
      </c>
      <c r="M6" s="103" t="s">
        <v>408</v>
      </c>
      <c r="N6" s="102" t="s">
        <v>384</v>
      </c>
      <c r="O6" s="102" t="s">
        <v>385</v>
      </c>
      <c r="P6" s="102" t="s">
        <v>386</v>
      </c>
      <c r="Q6" s="15" t="s">
        <v>388</v>
      </c>
      <c r="R6" s="15" t="s">
        <v>389</v>
      </c>
    </row>
    <row r="7" spans="1:18" ht="15.75" thickBot="1" x14ac:dyDescent="0.3">
      <c r="A7" s="3" t="s">
        <v>2</v>
      </c>
    </row>
    <row r="8" spans="1:18" ht="15.75" thickBot="1" x14ac:dyDescent="0.3">
      <c r="A8" s="4" t="s">
        <v>3</v>
      </c>
      <c r="B8" s="17">
        <f>'General Fund'!M8</f>
        <v>7596565.3500000006</v>
      </c>
      <c r="C8" s="17">
        <f>'Capital Projects Fund'!H8</f>
        <v>251080.67000000004</v>
      </c>
      <c r="D8" s="17">
        <f>'Human Services'!J8</f>
        <v>-837675.43000000017</v>
      </c>
      <c r="E8" s="97">
        <v>-1402616.41</v>
      </c>
      <c r="F8" s="17">
        <f>'Other Government'!AI8</f>
        <v>3512949.11</v>
      </c>
      <c r="G8" s="17">
        <f t="shared" ref="G8:G19" si="0">SUM(B8:F8)</f>
        <v>9120303.2899999991</v>
      </c>
      <c r="H8" s="98">
        <v>50270218.18</v>
      </c>
      <c r="I8" s="48">
        <v>46922.04</v>
      </c>
      <c r="J8" s="48">
        <v>85997.82</v>
      </c>
      <c r="K8" s="48">
        <f>3283.88-970.92</f>
        <v>2312.96</v>
      </c>
      <c r="L8" s="99">
        <f>103229.76+970.92</f>
        <v>104200.68</v>
      </c>
      <c r="M8" s="99">
        <v>13366.21</v>
      </c>
      <c r="O8" s="48">
        <f>SUM(H8:N8)</f>
        <v>50523017.890000001</v>
      </c>
      <c r="P8" s="6">
        <f>G8+O8</f>
        <v>59643321.18</v>
      </c>
      <c r="Q8" s="48"/>
      <c r="R8" s="106">
        <f>P8+Q8</f>
        <v>59643321.18</v>
      </c>
    </row>
    <row r="9" spans="1:18" ht="15.75" thickBot="1" x14ac:dyDescent="0.3">
      <c r="A9" s="4" t="s">
        <v>189</v>
      </c>
      <c r="B9" s="17"/>
      <c r="D9" s="17">
        <f>'Human Services'!J9</f>
        <v>0</v>
      </c>
      <c r="E9" s="97"/>
      <c r="F9" s="17">
        <v>0</v>
      </c>
      <c r="G9" s="17">
        <f t="shared" si="0"/>
        <v>0</v>
      </c>
      <c r="O9" s="48">
        <f t="shared" ref="O9:O18" si="1">SUM(H9:N9)</f>
        <v>0</v>
      </c>
      <c r="P9" s="6">
        <f t="shared" ref="P9:P18" si="2">G9+O9</f>
        <v>0</v>
      </c>
      <c r="R9" s="106">
        <f t="shared" ref="R9:R19" si="3">P9+Q9</f>
        <v>0</v>
      </c>
    </row>
    <row r="10" spans="1:18" ht="15.75" thickBot="1" x14ac:dyDescent="0.3">
      <c r="A10" s="4" t="s">
        <v>233</v>
      </c>
      <c r="B10" s="17">
        <f>'General Fund'!M10</f>
        <v>1533216.4400000002</v>
      </c>
      <c r="E10" s="97"/>
      <c r="G10" s="17">
        <f t="shared" si="0"/>
        <v>1533216.4400000002</v>
      </c>
      <c r="O10" s="48">
        <f t="shared" si="1"/>
        <v>0</v>
      </c>
      <c r="P10" s="6">
        <f t="shared" si="2"/>
        <v>1533216.4400000002</v>
      </c>
      <c r="Q10" s="65"/>
      <c r="R10" s="106">
        <f t="shared" si="3"/>
        <v>1533216.4400000002</v>
      </c>
    </row>
    <row r="11" spans="1:18" ht="15.75" thickBot="1" x14ac:dyDescent="0.3">
      <c r="A11" s="4" t="s">
        <v>4</v>
      </c>
      <c r="B11" s="17">
        <f>'General Fund'!M9</f>
        <v>621240.54</v>
      </c>
      <c r="C11" s="17">
        <f>'Capital Projects Fund'!H9</f>
        <v>0</v>
      </c>
      <c r="D11" s="17">
        <f>'Human Services'!J10</f>
        <v>415966.26</v>
      </c>
      <c r="E11" s="97"/>
      <c r="F11" s="17">
        <f>'Other Government'!AI9</f>
        <v>941474.22</v>
      </c>
      <c r="G11" s="17">
        <f t="shared" si="0"/>
        <v>1978681.02</v>
      </c>
      <c r="M11" s="99">
        <v>3750</v>
      </c>
      <c r="O11" s="48">
        <f t="shared" si="1"/>
        <v>3750</v>
      </c>
      <c r="P11" s="6">
        <f t="shared" si="2"/>
        <v>1982431.02</v>
      </c>
      <c r="R11" s="106">
        <f t="shared" si="3"/>
        <v>1982431.02</v>
      </c>
    </row>
    <row r="12" spans="1:18" ht="15.75" thickBot="1" x14ac:dyDescent="0.3">
      <c r="A12" s="4" t="s">
        <v>410</v>
      </c>
      <c r="B12" s="17">
        <f>'General Fund'!M11</f>
        <v>17619</v>
      </c>
      <c r="E12" s="97"/>
      <c r="G12" s="17">
        <f t="shared" si="0"/>
        <v>17619</v>
      </c>
      <c r="P12" s="6"/>
      <c r="R12" s="106"/>
    </row>
    <row r="13" spans="1:18" ht="15.75" thickBot="1" x14ac:dyDescent="0.3">
      <c r="A13" s="4" t="s">
        <v>6</v>
      </c>
      <c r="B13" s="17">
        <f>'General Fund'!M12</f>
        <v>612882.85</v>
      </c>
      <c r="C13" s="17">
        <f>'Capital Projects Fund'!H10</f>
        <v>-0.21999999999999886</v>
      </c>
      <c r="D13" s="17">
        <f>'Human Services'!J11</f>
        <v>83900.51999999999</v>
      </c>
      <c r="E13" s="97"/>
      <c r="F13" s="17">
        <f>'Other Government'!AI10</f>
        <v>58642.639999999992</v>
      </c>
      <c r="G13" s="17">
        <f t="shared" si="0"/>
        <v>755425.79</v>
      </c>
      <c r="O13" s="48">
        <f t="shared" si="1"/>
        <v>0</v>
      </c>
      <c r="P13" s="6">
        <f t="shared" si="2"/>
        <v>755425.79</v>
      </c>
      <c r="R13" s="106">
        <f t="shared" si="3"/>
        <v>755425.79</v>
      </c>
    </row>
    <row r="14" spans="1:18" ht="15.75" thickBot="1" x14ac:dyDescent="0.3">
      <c r="A14" s="4" t="s">
        <v>5</v>
      </c>
      <c r="B14" s="17">
        <f>'General Fund'!M13</f>
        <v>67643.23</v>
      </c>
      <c r="C14" s="17">
        <f>'Capital Projects Fund'!H11</f>
        <v>0</v>
      </c>
      <c r="D14" s="17">
        <f>'Human Services'!J12</f>
        <v>4224524.46</v>
      </c>
      <c r="E14" s="97">
        <v>2180845</v>
      </c>
      <c r="F14" s="17">
        <f>'Other Government'!AI11</f>
        <v>301246.51</v>
      </c>
      <c r="G14" s="17">
        <f t="shared" si="0"/>
        <v>6774259.2000000002</v>
      </c>
      <c r="O14" s="48">
        <f t="shared" si="1"/>
        <v>0</v>
      </c>
      <c r="P14" s="6">
        <f t="shared" si="2"/>
        <v>6774259.2000000002</v>
      </c>
      <c r="R14" s="106">
        <f t="shared" si="3"/>
        <v>6774259.2000000002</v>
      </c>
    </row>
    <row r="15" spans="1:18" ht="15.75" thickBot="1" x14ac:dyDescent="0.3">
      <c r="A15" s="4" t="s">
        <v>374</v>
      </c>
      <c r="B15" s="17">
        <f>'General Fund'!M14</f>
        <v>0</v>
      </c>
      <c r="C15" s="17">
        <f>'Capital Projects Fund'!H12</f>
        <v>0</v>
      </c>
      <c r="D15" s="17">
        <f>'Human Services'!J13</f>
        <v>0</v>
      </c>
      <c r="E15" s="97"/>
      <c r="F15" s="17">
        <f>'Other Government'!AI12</f>
        <v>58641.72</v>
      </c>
      <c r="G15" s="17">
        <f t="shared" si="0"/>
        <v>58641.72</v>
      </c>
      <c r="M15" s="99">
        <f>97010.79+18370-1818.95</f>
        <v>113561.84</v>
      </c>
      <c r="N15" s="48">
        <f>24840826.31-29919.01+96230.79-4210.08+200.48</f>
        <v>24903128.489999998</v>
      </c>
      <c r="O15" s="48">
        <f t="shared" si="1"/>
        <v>25016690.329999998</v>
      </c>
      <c r="P15" s="6">
        <f t="shared" si="2"/>
        <v>25075332.049999997</v>
      </c>
      <c r="Q15" s="65"/>
      <c r="R15" s="106">
        <f t="shared" si="3"/>
        <v>25075332.049999997</v>
      </c>
    </row>
    <row r="16" spans="1:18" ht="15.75" thickBot="1" x14ac:dyDescent="0.3">
      <c r="A16" s="4" t="s">
        <v>194</v>
      </c>
      <c r="B16" s="17"/>
      <c r="C16" s="17">
        <f>'Capital Projects Fund'!H13</f>
        <v>0</v>
      </c>
      <c r="E16" s="97"/>
      <c r="G16" s="17">
        <f t="shared" si="0"/>
        <v>0</v>
      </c>
      <c r="O16" s="48">
        <f t="shared" si="1"/>
        <v>0</v>
      </c>
      <c r="P16" s="6">
        <f t="shared" si="2"/>
        <v>0</v>
      </c>
      <c r="R16" s="106">
        <f t="shared" si="3"/>
        <v>0</v>
      </c>
    </row>
    <row r="17" spans="1:19" ht="15.75" thickBot="1" x14ac:dyDescent="0.3">
      <c r="A17" s="4" t="s">
        <v>195</v>
      </c>
      <c r="B17" s="17"/>
      <c r="C17" s="97"/>
      <c r="E17" s="97"/>
      <c r="G17" s="17">
        <f t="shared" si="0"/>
        <v>0</v>
      </c>
      <c r="O17" s="48">
        <f t="shared" si="1"/>
        <v>0</v>
      </c>
      <c r="P17" s="6">
        <f t="shared" si="2"/>
        <v>0</v>
      </c>
      <c r="R17" s="106">
        <f t="shared" si="3"/>
        <v>0</v>
      </c>
    </row>
    <row r="18" spans="1:19" x14ac:dyDescent="0.25">
      <c r="A18" s="4" t="s">
        <v>196</v>
      </c>
      <c r="B18" s="17"/>
      <c r="C18" s="107"/>
      <c r="E18" s="107"/>
      <c r="G18" s="17">
        <f t="shared" si="0"/>
        <v>0</v>
      </c>
      <c r="O18" s="48">
        <f t="shared" si="1"/>
        <v>0</v>
      </c>
      <c r="P18" s="6">
        <f t="shared" si="2"/>
        <v>0</v>
      </c>
      <c r="Q18" s="6"/>
      <c r="R18" s="108">
        <f t="shared" si="3"/>
        <v>0</v>
      </c>
    </row>
    <row r="19" spans="1:19" s="113" customFormat="1" ht="15.75" thickBot="1" x14ac:dyDescent="0.3">
      <c r="A19" s="109" t="s">
        <v>7</v>
      </c>
      <c r="B19" s="110">
        <f>'General Fund'!M15</f>
        <v>10449167.410000002</v>
      </c>
      <c r="C19" s="111">
        <f>'Capital Projects Fund'!H14</f>
        <v>251080.45000000004</v>
      </c>
      <c r="D19" s="111">
        <f>'Human Services'!J14</f>
        <v>3886715.81</v>
      </c>
      <c r="E19" s="111">
        <f>SUM(E8:E18)</f>
        <v>778228.59000000008</v>
      </c>
      <c r="F19" s="111">
        <f>'Other Government'!AI13</f>
        <v>4872954.2</v>
      </c>
      <c r="G19" s="112">
        <f t="shared" si="0"/>
        <v>20238146.460000001</v>
      </c>
      <c r="H19" s="111">
        <f>SUM(H8:H18)</f>
        <v>50270218.18</v>
      </c>
      <c r="I19" s="111">
        <f t="shared" ref="I19:Q19" si="4">SUM(I8:I18)</f>
        <v>46922.04</v>
      </c>
      <c r="J19" s="111">
        <f t="shared" si="4"/>
        <v>85997.82</v>
      </c>
      <c r="K19" s="111">
        <f t="shared" si="4"/>
        <v>2312.96</v>
      </c>
      <c r="L19" s="111">
        <f t="shared" si="4"/>
        <v>104200.68</v>
      </c>
      <c r="M19" s="111">
        <f t="shared" si="4"/>
        <v>130678.04999999999</v>
      </c>
      <c r="N19" s="111">
        <f t="shared" si="4"/>
        <v>24903128.489999998</v>
      </c>
      <c r="O19" s="111">
        <f t="shared" si="4"/>
        <v>75543458.219999999</v>
      </c>
      <c r="P19" s="111">
        <f t="shared" si="4"/>
        <v>95763985.679999992</v>
      </c>
      <c r="Q19" s="111">
        <f t="shared" si="4"/>
        <v>0</v>
      </c>
      <c r="R19" s="125">
        <f t="shared" si="3"/>
        <v>95763985.679999992</v>
      </c>
      <c r="S19" s="113" t="s">
        <v>390</v>
      </c>
    </row>
    <row r="20" spans="1:19" x14ac:dyDescent="0.25">
      <c r="Q20" s="65"/>
    </row>
    <row r="21" spans="1:19" ht="15.75" thickBot="1" x14ac:dyDescent="0.3">
      <c r="A21" s="3" t="s">
        <v>8</v>
      </c>
    </row>
    <row r="22" spans="1:19" ht="15.75" thickBot="1" x14ac:dyDescent="0.3">
      <c r="A22" s="4" t="s">
        <v>9</v>
      </c>
      <c r="B22" s="6">
        <f>'General Fund'!M18</f>
        <v>740275.48</v>
      </c>
      <c r="C22" s="17">
        <f>'Capital Projects Fund'!H17</f>
        <v>0</v>
      </c>
      <c r="D22" s="17">
        <f>'Human Services'!J17</f>
        <v>1004918.8500000001</v>
      </c>
      <c r="E22" s="97">
        <v>662280.94999999995</v>
      </c>
      <c r="F22" s="17">
        <f>'Other Government'!AI16</f>
        <v>280805.36000000004</v>
      </c>
      <c r="G22" s="6">
        <f t="shared" ref="G22:G26" si="5">SUM(B22:F22)</f>
        <v>2688280.64</v>
      </c>
      <c r="J22" s="48">
        <v>85997.82</v>
      </c>
      <c r="K22" s="48">
        <v>3282.48</v>
      </c>
      <c r="L22" s="99">
        <v>9275.6200000000008</v>
      </c>
      <c r="M22" s="99">
        <v>1342.84</v>
      </c>
      <c r="O22" s="48">
        <f>SUM(H22:N22)</f>
        <v>99898.76</v>
      </c>
      <c r="P22" s="6">
        <f>G22+O22</f>
        <v>2788179.4</v>
      </c>
      <c r="Q22" s="48"/>
      <c r="R22" s="106">
        <f>P22+Q22</f>
        <v>2788179.4</v>
      </c>
    </row>
    <row r="23" spans="1:19" ht="15.75" thickBot="1" x14ac:dyDescent="0.3">
      <c r="A23" s="4" t="s">
        <v>10</v>
      </c>
      <c r="B23" s="6">
        <f>'General Fund'!M19</f>
        <v>338235.15</v>
      </c>
      <c r="C23" s="17">
        <f>'Capital Projects Fund'!H18</f>
        <v>0</v>
      </c>
      <c r="D23" s="17">
        <f>'Human Services'!J18</f>
        <v>287416.61</v>
      </c>
      <c r="E23" s="97"/>
      <c r="F23" s="17">
        <f>'Other Government'!AI17</f>
        <v>47208.3</v>
      </c>
      <c r="G23" s="6">
        <f t="shared" si="5"/>
        <v>672860.06</v>
      </c>
      <c r="M23" s="99">
        <v>4918.8100000000004</v>
      </c>
      <c r="O23" s="48">
        <f t="shared" ref="O23:O26" si="6">SUM(H23:N23)</f>
        <v>4918.8100000000004</v>
      </c>
      <c r="P23" s="6">
        <f t="shared" ref="P23:P26" si="7">G23+O23</f>
        <v>677778.87000000011</v>
      </c>
      <c r="Q23" s="48"/>
      <c r="R23" s="106">
        <f t="shared" ref="R23:R26" si="8">P23+Q23</f>
        <v>677778.87000000011</v>
      </c>
    </row>
    <row r="24" spans="1:19" ht="15.75" thickBot="1" x14ac:dyDescent="0.3">
      <c r="A24" s="4" t="s">
        <v>190</v>
      </c>
      <c r="B24" s="6">
        <f>'General Fund'!M20</f>
        <v>106403.43</v>
      </c>
      <c r="D24" s="17">
        <f>'Human Services'!J19</f>
        <v>160355</v>
      </c>
      <c r="E24" s="97"/>
      <c r="F24" s="17">
        <f>'Other Government'!AI18</f>
        <v>0</v>
      </c>
      <c r="G24" s="6">
        <f t="shared" si="5"/>
        <v>266758.43</v>
      </c>
      <c r="I24" s="48">
        <v>46922.04</v>
      </c>
      <c r="N24" s="48">
        <f>-29919.01+92020.71</f>
        <v>62101.700000000012</v>
      </c>
      <c r="O24" s="48">
        <f t="shared" si="6"/>
        <v>109023.74000000002</v>
      </c>
      <c r="P24" s="6">
        <f t="shared" si="7"/>
        <v>375782.17000000004</v>
      </c>
      <c r="Q24" s="48"/>
      <c r="R24" s="106">
        <f t="shared" si="8"/>
        <v>375782.17000000004</v>
      </c>
    </row>
    <row r="25" spans="1:19" ht="15.75" thickBot="1" x14ac:dyDescent="0.3">
      <c r="A25" s="4" t="s">
        <v>11</v>
      </c>
      <c r="B25" s="6">
        <f>'General Fund'!M21</f>
        <v>62624.480000000003</v>
      </c>
      <c r="C25" s="17">
        <f>'Capital Projects Fund'!H19</f>
        <v>0</v>
      </c>
      <c r="D25" s="17">
        <f>'Human Services'!J20</f>
        <v>0</v>
      </c>
      <c r="E25" s="97"/>
      <c r="F25" s="17">
        <f>'Other Government'!AI19</f>
        <v>0</v>
      </c>
      <c r="G25" s="6">
        <f t="shared" si="5"/>
        <v>62624.480000000003</v>
      </c>
      <c r="O25" s="48">
        <f t="shared" si="6"/>
        <v>0</v>
      </c>
      <c r="P25" s="6">
        <f t="shared" si="7"/>
        <v>62624.480000000003</v>
      </c>
      <c r="Q25" s="48"/>
      <c r="R25" s="106">
        <f t="shared" si="8"/>
        <v>62624.480000000003</v>
      </c>
    </row>
    <row r="26" spans="1:19" x14ac:dyDescent="0.25">
      <c r="A26" s="4" t="s">
        <v>12</v>
      </c>
      <c r="B26" s="6">
        <f>'General Fund'!M22</f>
        <v>1665261.13</v>
      </c>
      <c r="C26" s="17">
        <f>'Capital Projects Fund'!H20</f>
        <v>0</v>
      </c>
      <c r="D26" s="17">
        <f>'Human Services'!J21</f>
        <v>2083631.6300000004</v>
      </c>
      <c r="E26" s="97">
        <v>115946.3</v>
      </c>
      <c r="F26" s="17">
        <f>'Other Government'!AI20</f>
        <v>1162795.77</v>
      </c>
      <c r="G26" s="6">
        <f t="shared" si="5"/>
        <v>5027634.83</v>
      </c>
      <c r="O26" s="48">
        <f t="shared" si="6"/>
        <v>0</v>
      </c>
      <c r="P26" s="6">
        <f t="shared" si="7"/>
        <v>5027634.83</v>
      </c>
      <c r="Q26" s="48"/>
      <c r="R26" s="108">
        <f t="shared" si="8"/>
        <v>5027634.83</v>
      </c>
    </row>
    <row r="27" spans="1:19" x14ac:dyDescent="0.25">
      <c r="A27" s="2" t="s">
        <v>13</v>
      </c>
      <c r="B27" s="6">
        <f>'General Fund'!M23</f>
        <v>2912799.67</v>
      </c>
      <c r="C27" s="17">
        <f>'Capital Projects Fund'!H21</f>
        <v>0</v>
      </c>
      <c r="D27" s="17">
        <f>'Human Services'!J22</f>
        <v>3536322.0900000003</v>
      </c>
      <c r="E27" s="17">
        <f>SUM(E22:E26)</f>
        <v>778227.25</v>
      </c>
      <c r="F27" s="17">
        <f>'Other Government'!AI21</f>
        <v>1490809.43</v>
      </c>
      <c r="G27" s="6">
        <f>SUM(G22:G26)</f>
        <v>8718158.4400000013</v>
      </c>
      <c r="H27" s="110">
        <f>SUM(H22:H26)</f>
        <v>0</v>
      </c>
      <c r="I27" s="110">
        <f t="shared" ref="I27:Q27" si="9">SUM(I22:I26)</f>
        <v>46922.04</v>
      </c>
      <c r="J27" s="110">
        <f t="shared" si="9"/>
        <v>85997.82</v>
      </c>
      <c r="K27" s="110">
        <f t="shared" si="9"/>
        <v>3282.48</v>
      </c>
      <c r="L27" s="110">
        <f t="shared" si="9"/>
        <v>9275.6200000000008</v>
      </c>
      <c r="M27" s="110">
        <f t="shared" si="9"/>
        <v>6261.6500000000005</v>
      </c>
      <c r="N27" s="110">
        <f t="shared" si="9"/>
        <v>62101.700000000012</v>
      </c>
      <c r="O27" s="110">
        <f t="shared" si="9"/>
        <v>213841.31</v>
      </c>
      <c r="P27" s="110">
        <f t="shared" si="9"/>
        <v>8931999.75</v>
      </c>
      <c r="Q27" s="110">
        <f t="shared" si="9"/>
        <v>0</v>
      </c>
      <c r="R27" s="126">
        <f>SUM(R22:R26)</f>
        <v>8931999.75</v>
      </c>
      <c r="S27" t="s">
        <v>390</v>
      </c>
    </row>
    <row r="29" spans="1:19" x14ac:dyDescent="0.25">
      <c r="A29" s="78" t="s">
        <v>348</v>
      </c>
    </row>
    <row r="30" spans="1:19" x14ac:dyDescent="0.25">
      <c r="A30" t="s">
        <v>356</v>
      </c>
      <c r="B30" s="6">
        <f>'General Fund'!M26</f>
        <v>0</v>
      </c>
      <c r="C30" s="17">
        <f>'Capital Projects Fund'!H24</f>
        <v>0</v>
      </c>
      <c r="E30" s="97"/>
      <c r="G30" s="6">
        <f>SUM(B30:F30)</f>
        <v>0</v>
      </c>
    </row>
    <row r="31" spans="1:19" x14ac:dyDescent="0.25">
      <c r="A31" t="s">
        <v>397</v>
      </c>
      <c r="B31" s="6">
        <f>'General Fund'!M27</f>
        <v>0</v>
      </c>
      <c r="C31" s="17">
        <f>'Capital Projects Fund'!H25</f>
        <v>0</v>
      </c>
      <c r="E31" s="97"/>
      <c r="G31" s="6">
        <f t="shared" ref="G31:G32" si="10">SUM(B31:F31)</f>
        <v>0</v>
      </c>
    </row>
    <row r="32" spans="1:19" x14ac:dyDescent="0.25">
      <c r="A32" s="77" t="s">
        <v>351</v>
      </c>
      <c r="B32" s="6">
        <f>SUM(B30:B31)</f>
        <v>0</v>
      </c>
      <c r="C32" s="17">
        <f>'Capital Projects Fund'!H26</f>
        <v>0</v>
      </c>
      <c r="E32" s="17">
        <f>SUM(E30:E31)</f>
        <v>0</v>
      </c>
      <c r="G32" s="6">
        <f t="shared" si="10"/>
        <v>0</v>
      </c>
    </row>
    <row r="34" spans="1:18" x14ac:dyDescent="0.25">
      <c r="A34" s="3" t="s">
        <v>14</v>
      </c>
    </row>
    <row r="35" spans="1:18" x14ac:dyDescent="0.25">
      <c r="A35" s="96" t="s">
        <v>15</v>
      </c>
      <c r="B35" s="6">
        <f>'General Fund'!M32</f>
        <v>0</v>
      </c>
      <c r="C35" s="17">
        <f>'Capital Projects Fund'!H29</f>
        <v>0</v>
      </c>
      <c r="E35" s="97"/>
      <c r="F35" s="17">
        <f>'Other Government'!AI25</f>
        <v>0</v>
      </c>
      <c r="G35" s="6">
        <f>SUM(B35:F35)</f>
        <v>0</v>
      </c>
      <c r="N35" s="48">
        <f>71591624.11+200.48</f>
        <v>71591824.590000004</v>
      </c>
      <c r="O35" s="48">
        <f t="shared" ref="O35:O54" si="11">SUM(H35:N35)</f>
        <v>71591824.590000004</v>
      </c>
      <c r="P35" s="6">
        <f t="shared" ref="P35:P45" si="12">G35+O35</f>
        <v>71591824.590000004</v>
      </c>
      <c r="R35" s="6">
        <f t="shared" ref="R35:R45" si="13">P35+Q35</f>
        <v>71591824.590000004</v>
      </c>
    </row>
    <row r="36" spans="1:18" x14ac:dyDescent="0.25">
      <c r="A36" s="4" t="s">
        <v>333</v>
      </c>
      <c r="B36" s="6">
        <f>'General Fund'!M33</f>
        <v>1755505.56</v>
      </c>
      <c r="E36" s="97"/>
      <c r="G36" s="6">
        <f t="shared" ref="G36:G54" si="14">SUM(B36:F36)</f>
        <v>1755505.56</v>
      </c>
      <c r="O36" s="48">
        <f t="shared" si="11"/>
        <v>0</v>
      </c>
      <c r="P36" s="6">
        <f t="shared" si="12"/>
        <v>1755505.56</v>
      </c>
      <c r="R36" s="6">
        <f t="shared" si="13"/>
        <v>1755505.56</v>
      </c>
    </row>
    <row r="37" spans="1:18" x14ac:dyDescent="0.25">
      <c r="A37" s="4" t="s">
        <v>162</v>
      </c>
      <c r="D37" s="17">
        <f>'Human Services'!J25</f>
        <v>54822.6</v>
      </c>
      <c r="E37" s="97"/>
      <c r="F37" s="17">
        <f>'Other Government'!AI26</f>
        <v>40127.230000000003</v>
      </c>
      <c r="G37" s="6">
        <f t="shared" si="14"/>
        <v>94949.83</v>
      </c>
      <c r="O37" s="48">
        <f t="shared" si="11"/>
        <v>0</v>
      </c>
      <c r="P37" s="6">
        <f t="shared" si="12"/>
        <v>94949.83</v>
      </c>
      <c r="R37" s="6">
        <f t="shared" si="13"/>
        <v>94949.83</v>
      </c>
    </row>
    <row r="38" spans="1:18" x14ac:dyDescent="0.25">
      <c r="A38" s="4" t="s">
        <v>334</v>
      </c>
      <c r="E38" s="97"/>
      <c r="F38" s="17">
        <f>'Other Government'!AI27</f>
        <v>1199595.3400000001</v>
      </c>
      <c r="G38" s="6">
        <f t="shared" si="14"/>
        <v>1199595.3400000001</v>
      </c>
      <c r="O38" s="48">
        <f t="shared" si="11"/>
        <v>0</v>
      </c>
      <c r="P38" s="6">
        <f t="shared" si="12"/>
        <v>1199595.3400000001</v>
      </c>
      <c r="R38" s="6">
        <f t="shared" si="13"/>
        <v>1199595.3400000001</v>
      </c>
    </row>
    <row r="39" spans="1:18" x14ac:dyDescent="0.25">
      <c r="A39" s="4" t="s">
        <v>335</v>
      </c>
      <c r="E39" s="97"/>
      <c r="F39" s="17">
        <f>'Other Government'!AI28</f>
        <v>21790.52</v>
      </c>
      <c r="G39" s="6">
        <f t="shared" si="14"/>
        <v>21790.52</v>
      </c>
      <c r="O39" s="48">
        <f t="shared" si="11"/>
        <v>0</v>
      </c>
      <c r="P39" s="6">
        <f t="shared" si="12"/>
        <v>21790.52</v>
      </c>
      <c r="R39" s="6">
        <f t="shared" si="13"/>
        <v>21790.52</v>
      </c>
    </row>
    <row r="40" spans="1:18" x14ac:dyDescent="0.25">
      <c r="A40" s="4" t="s">
        <v>336</v>
      </c>
      <c r="E40" s="97"/>
      <c r="F40" s="17">
        <f>'Other Government'!AI29</f>
        <v>292279.27</v>
      </c>
      <c r="G40" s="6">
        <f t="shared" si="14"/>
        <v>292279.27</v>
      </c>
      <c r="O40" s="48">
        <f t="shared" si="11"/>
        <v>0</v>
      </c>
      <c r="P40" s="6">
        <f t="shared" si="12"/>
        <v>292279.27</v>
      </c>
      <c r="R40" s="6">
        <f t="shared" si="13"/>
        <v>292279.27</v>
      </c>
    </row>
    <row r="41" spans="1:18" x14ac:dyDescent="0.25">
      <c r="A41" s="4" t="s">
        <v>337</v>
      </c>
      <c r="E41" s="97"/>
      <c r="F41" s="17">
        <f>'Other Government'!AI30</f>
        <v>289819.26</v>
      </c>
      <c r="G41" s="6">
        <f t="shared" si="14"/>
        <v>289819.26</v>
      </c>
      <c r="O41" s="48">
        <f t="shared" si="11"/>
        <v>0</v>
      </c>
      <c r="P41" s="6">
        <f t="shared" si="12"/>
        <v>289819.26</v>
      </c>
      <c r="R41" s="6">
        <f t="shared" si="13"/>
        <v>289819.26</v>
      </c>
    </row>
    <row r="42" spans="1:18" x14ac:dyDescent="0.25">
      <c r="A42" s="4" t="s">
        <v>338</v>
      </c>
      <c r="E42" s="97"/>
      <c r="F42" s="17">
        <f>'Other Government'!AI31</f>
        <v>445107.69</v>
      </c>
      <c r="G42" s="6">
        <f t="shared" si="14"/>
        <v>445107.69</v>
      </c>
      <c r="O42" s="48">
        <f t="shared" si="11"/>
        <v>0</v>
      </c>
      <c r="P42" s="6">
        <f t="shared" si="12"/>
        <v>445107.69</v>
      </c>
      <c r="R42" s="6">
        <f t="shared" si="13"/>
        <v>445107.69</v>
      </c>
    </row>
    <row r="43" spans="1:18" x14ac:dyDescent="0.25">
      <c r="A43" s="4" t="s">
        <v>339</v>
      </c>
      <c r="E43" s="97"/>
      <c r="F43" s="17">
        <f>'Other Government'!AI32</f>
        <v>56311.44</v>
      </c>
      <c r="G43" s="6">
        <f t="shared" si="14"/>
        <v>56311.44</v>
      </c>
      <c r="O43" s="48">
        <f t="shared" si="11"/>
        <v>0</v>
      </c>
      <c r="P43" s="6">
        <f t="shared" si="12"/>
        <v>56311.44</v>
      </c>
      <c r="R43" s="6">
        <f t="shared" si="13"/>
        <v>56311.44</v>
      </c>
    </row>
    <row r="44" spans="1:18" x14ac:dyDescent="0.25">
      <c r="A44" s="4" t="s">
        <v>340</v>
      </c>
      <c r="E44" s="97"/>
      <c r="F44" s="17">
        <f>'Other Government'!AI33</f>
        <v>124697.59000000001</v>
      </c>
      <c r="G44" s="6">
        <f t="shared" si="14"/>
        <v>124697.59000000001</v>
      </c>
      <c r="O44" s="48">
        <f t="shared" si="11"/>
        <v>0</v>
      </c>
      <c r="P44" s="6">
        <f t="shared" si="12"/>
        <v>124697.59000000001</v>
      </c>
      <c r="R44" s="6">
        <f t="shared" si="13"/>
        <v>124697.59000000001</v>
      </c>
    </row>
    <row r="45" spans="1:18" x14ac:dyDescent="0.25">
      <c r="A45" s="4" t="s">
        <v>364</v>
      </c>
      <c r="E45" s="97"/>
      <c r="F45" s="17">
        <f>'Other Government'!AI34</f>
        <v>753682.67</v>
      </c>
      <c r="G45" s="6">
        <f t="shared" si="14"/>
        <v>753682.67</v>
      </c>
      <c r="O45" s="48">
        <f t="shared" si="11"/>
        <v>0</v>
      </c>
      <c r="P45" s="6">
        <f t="shared" si="12"/>
        <v>753682.67</v>
      </c>
      <c r="R45" s="6">
        <f t="shared" si="13"/>
        <v>753682.67</v>
      </c>
    </row>
    <row r="46" spans="1:18" x14ac:dyDescent="0.25">
      <c r="A46" s="4" t="s">
        <v>365</v>
      </c>
      <c r="E46" s="97"/>
      <c r="F46" s="17">
        <f>'Other Government'!AI35</f>
        <v>132680.03</v>
      </c>
      <c r="G46" s="6">
        <f t="shared" si="14"/>
        <v>132680.03</v>
      </c>
      <c r="O46" s="48">
        <f>SUM(H46:N46)</f>
        <v>0</v>
      </c>
      <c r="P46" s="6">
        <f>G46+O46</f>
        <v>132680.03</v>
      </c>
      <c r="R46" s="6">
        <f>P46+Q46</f>
        <v>132680.03</v>
      </c>
    </row>
    <row r="47" spans="1:18" x14ac:dyDescent="0.25">
      <c r="A47" s="96" t="s">
        <v>366</v>
      </c>
      <c r="E47" s="97"/>
      <c r="F47" s="17">
        <f>'Other Government'!AI36</f>
        <v>0</v>
      </c>
      <c r="G47" s="6">
        <f t="shared" si="14"/>
        <v>0</v>
      </c>
      <c r="O47" s="48">
        <f t="shared" si="11"/>
        <v>0</v>
      </c>
      <c r="P47" s="6">
        <f t="shared" ref="P47:P54" si="15">G47+O47</f>
        <v>0</v>
      </c>
      <c r="R47" s="6">
        <f t="shared" ref="R47:R54" si="16">P47+Q47</f>
        <v>0</v>
      </c>
    </row>
    <row r="48" spans="1:18" x14ac:dyDescent="0.25">
      <c r="A48" s="4" t="s">
        <v>203</v>
      </c>
      <c r="C48" s="17">
        <f>'Capital Projects Fund'!H31</f>
        <v>251080.45000000004</v>
      </c>
      <c r="E48" s="97"/>
      <c r="F48" s="17">
        <f>'Other Government'!AI37</f>
        <v>0</v>
      </c>
      <c r="G48" s="6">
        <f t="shared" si="14"/>
        <v>251080.45000000004</v>
      </c>
      <c r="O48" s="48">
        <f t="shared" si="11"/>
        <v>0</v>
      </c>
      <c r="P48" s="6">
        <f t="shared" si="15"/>
        <v>251080.45000000004</v>
      </c>
      <c r="R48" s="6">
        <f t="shared" si="16"/>
        <v>251080.45000000004</v>
      </c>
    </row>
    <row r="49" spans="1:19" x14ac:dyDescent="0.25">
      <c r="A49" s="4" t="s">
        <v>344</v>
      </c>
      <c r="D49" s="17">
        <f>'Substance Abuse'!I27</f>
        <v>295567.98</v>
      </c>
      <c r="E49" s="97"/>
      <c r="F49" s="17">
        <f>'Other Government'!AI38</f>
        <v>0</v>
      </c>
      <c r="G49" s="6">
        <f t="shared" si="14"/>
        <v>295567.98</v>
      </c>
      <c r="O49" s="48">
        <f t="shared" si="11"/>
        <v>0</v>
      </c>
      <c r="P49" s="6">
        <f t="shared" si="15"/>
        <v>295567.98</v>
      </c>
      <c r="R49" s="6">
        <f t="shared" si="16"/>
        <v>295567.98</v>
      </c>
    </row>
    <row r="50" spans="1:19" x14ac:dyDescent="0.25">
      <c r="A50" s="4" t="s">
        <v>345</v>
      </c>
      <c r="E50" s="97"/>
      <c r="F50" s="17">
        <f>'Other Government'!AI39</f>
        <v>8688.4699999999939</v>
      </c>
      <c r="G50" s="6">
        <f t="shared" si="14"/>
        <v>8688.4699999999939</v>
      </c>
      <c r="O50" s="48">
        <f t="shared" si="11"/>
        <v>0</v>
      </c>
      <c r="P50" s="6">
        <f t="shared" si="15"/>
        <v>8688.4699999999939</v>
      </c>
      <c r="R50" s="6">
        <f t="shared" si="16"/>
        <v>8688.4699999999939</v>
      </c>
    </row>
    <row r="51" spans="1:19" x14ac:dyDescent="0.25">
      <c r="A51" s="4" t="s">
        <v>346</v>
      </c>
      <c r="E51" s="97"/>
      <c r="F51" s="17">
        <f>'Other Government'!AI40</f>
        <v>17365.41</v>
      </c>
      <c r="G51" s="6">
        <f t="shared" si="14"/>
        <v>17365.41</v>
      </c>
      <c r="O51" s="48">
        <f t="shared" si="11"/>
        <v>0</v>
      </c>
      <c r="P51" s="6">
        <f t="shared" si="15"/>
        <v>17365.41</v>
      </c>
      <c r="R51" s="6">
        <f t="shared" si="16"/>
        <v>17365.41</v>
      </c>
    </row>
    <row r="52" spans="1:19" x14ac:dyDescent="0.25">
      <c r="A52" s="96" t="s">
        <v>16</v>
      </c>
      <c r="B52" s="6">
        <f>'General Fund'!M14</f>
        <v>0</v>
      </c>
      <c r="C52" s="17">
        <f>'Capital Projects Fund'!H30</f>
        <v>0</v>
      </c>
      <c r="D52" s="17">
        <f>'Human Services'!J26</f>
        <v>0</v>
      </c>
      <c r="E52" s="97"/>
      <c r="G52" s="6">
        <f t="shared" si="14"/>
        <v>0</v>
      </c>
      <c r="O52" s="48">
        <f t="shared" si="11"/>
        <v>0</v>
      </c>
      <c r="P52" s="6">
        <f t="shared" si="15"/>
        <v>0</v>
      </c>
      <c r="R52" s="6">
        <f t="shared" si="16"/>
        <v>0</v>
      </c>
    </row>
    <row r="53" spans="1:19" x14ac:dyDescent="0.25">
      <c r="A53" s="96" t="s">
        <v>17</v>
      </c>
      <c r="B53" s="6">
        <f>'General Fund'!M50</f>
        <v>5780862.1799999997</v>
      </c>
      <c r="E53" s="97">
        <v>1.34</v>
      </c>
      <c r="F53" s="17">
        <f>'Other Government'!AI41</f>
        <v>-0.14999999999997726</v>
      </c>
      <c r="G53" s="6">
        <f t="shared" si="14"/>
        <v>5780863.3699999992</v>
      </c>
      <c r="H53" s="98">
        <v>50270218.18</v>
      </c>
      <c r="K53" s="48">
        <f>1.4-970.92</f>
        <v>-969.52</v>
      </c>
      <c r="L53" s="99">
        <f>93954.14+970.92</f>
        <v>94925.06</v>
      </c>
      <c r="M53" s="99">
        <f>107865.35+18370-1818.95</f>
        <v>124416.40000000001</v>
      </c>
      <c r="N53" s="48">
        <f>-46750797.8</f>
        <v>-46750797.799999997</v>
      </c>
      <c r="O53" s="48">
        <f t="shared" si="11"/>
        <v>3737792.3200000003</v>
      </c>
      <c r="P53" s="6">
        <f t="shared" si="15"/>
        <v>9518655.6899999995</v>
      </c>
      <c r="R53" s="6">
        <f t="shared" si="16"/>
        <v>9518655.6899999995</v>
      </c>
    </row>
    <row r="54" spans="1:19" x14ac:dyDescent="0.25">
      <c r="A54" s="2" t="s">
        <v>18</v>
      </c>
      <c r="B54" s="6">
        <f>'General Fund'!M51</f>
        <v>7536367.7400000002</v>
      </c>
      <c r="C54" s="17">
        <f>SUM(C35:C53)</f>
        <v>251080.45000000004</v>
      </c>
      <c r="D54" s="17">
        <f>'Human Services'!J28</f>
        <v>350393.72000000003</v>
      </c>
      <c r="E54" s="17">
        <f>SUM(E35:E53)</f>
        <v>1.34</v>
      </c>
      <c r="F54" s="17">
        <f>SUM(F35:F53)</f>
        <v>3382144.77</v>
      </c>
      <c r="G54" s="6">
        <f t="shared" si="14"/>
        <v>11519988.02</v>
      </c>
      <c r="H54" s="114">
        <f>SUM(H35:H53)</f>
        <v>50270218.18</v>
      </c>
      <c r="I54" s="114">
        <f t="shared" ref="I54:N54" si="17">SUM(I35:I53)</f>
        <v>0</v>
      </c>
      <c r="J54" s="114">
        <f t="shared" si="17"/>
        <v>0</v>
      </c>
      <c r="K54" s="114">
        <f t="shared" si="17"/>
        <v>-969.52</v>
      </c>
      <c r="L54" s="114">
        <f t="shared" si="17"/>
        <v>94925.06</v>
      </c>
      <c r="M54" s="114">
        <f t="shared" si="17"/>
        <v>124416.40000000001</v>
      </c>
      <c r="N54" s="114">
        <f t="shared" si="17"/>
        <v>24841026.790000007</v>
      </c>
      <c r="O54" s="115">
        <f t="shared" si="11"/>
        <v>75329616.909999996</v>
      </c>
      <c r="P54" s="110">
        <f t="shared" si="15"/>
        <v>86849604.929999992</v>
      </c>
      <c r="Q54" s="113"/>
      <c r="R54" s="126">
        <f t="shared" si="16"/>
        <v>86849604.929999992</v>
      </c>
      <c r="S54" t="s">
        <v>404</v>
      </c>
    </row>
    <row r="56" spans="1:19" x14ac:dyDescent="0.25">
      <c r="A56" s="2" t="s">
        <v>19</v>
      </c>
      <c r="B56" s="6">
        <f>'General Fund'!M53</f>
        <v>10449167.41</v>
      </c>
      <c r="C56" s="17">
        <f>'Capital Projects Fund'!H34</f>
        <v>251080.45000000004</v>
      </c>
      <c r="D56" s="17">
        <f>'Human Services'!J30</f>
        <v>3886715.810000001</v>
      </c>
      <c r="E56" s="17">
        <f>E27+E54+E32</f>
        <v>778228.59</v>
      </c>
      <c r="F56" s="17">
        <f>'Other Government'!AI44</f>
        <v>4872954.2</v>
      </c>
      <c r="G56" s="6">
        <f>SUM(B56:F56)</f>
        <v>20238146.460000001</v>
      </c>
      <c r="H56" s="116">
        <f>H27+H54</f>
        <v>50270218.18</v>
      </c>
      <c r="I56" s="116">
        <f t="shared" ref="I56:R56" si="18">I27+I54</f>
        <v>46922.04</v>
      </c>
      <c r="J56" s="116">
        <f t="shared" si="18"/>
        <v>85997.82</v>
      </c>
      <c r="K56" s="116">
        <f t="shared" si="18"/>
        <v>2312.96</v>
      </c>
      <c r="L56" s="116">
        <f t="shared" si="18"/>
        <v>104200.68</v>
      </c>
      <c r="M56" s="116">
        <f t="shared" si="18"/>
        <v>130678.05</v>
      </c>
      <c r="N56" s="116">
        <f t="shared" si="18"/>
        <v>24903128.490000006</v>
      </c>
      <c r="O56" s="116">
        <f t="shared" si="18"/>
        <v>75543458.219999999</v>
      </c>
      <c r="P56" s="116">
        <f t="shared" si="18"/>
        <v>95781604.679999992</v>
      </c>
      <c r="Q56" s="116">
        <f t="shared" si="18"/>
        <v>0</v>
      </c>
      <c r="R56" s="116">
        <f t="shared" si="18"/>
        <v>95781604.679999992</v>
      </c>
    </row>
    <row r="57" spans="1:19" x14ac:dyDescent="0.25">
      <c r="B57" s="55" t="str">
        <f t="shared" ref="B57:R57" si="19">IF(B19=B56,"YES","NO")</f>
        <v>YES</v>
      </c>
      <c r="C57" s="55" t="str">
        <f t="shared" si="19"/>
        <v>YES</v>
      </c>
      <c r="D57" s="55" t="str">
        <f t="shared" si="19"/>
        <v>YES</v>
      </c>
      <c r="E57" s="55" t="str">
        <f t="shared" si="19"/>
        <v>YES</v>
      </c>
      <c r="F57" s="55" t="str">
        <f t="shared" si="19"/>
        <v>YES</v>
      </c>
      <c r="G57" s="55" t="str">
        <f t="shared" si="19"/>
        <v>YES</v>
      </c>
      <c r="H57" s="55" t="str">
        <f t="shared" si="19"/>
        <v>YES</v>
      </c>
      <c r="I57" s="55" t="str">
        <f t="shared" si="19"/>
        <v>YES</v>
      </c>
      <c r="J57" s="55" t="str">
        <f t="shared" si="19"/>
        <v>YES</v>
      </c>
      <c r="K57" s="55" t="str">
        <f t="shared" si="19"/>
        <v>YES</v>
      </c>
      <c r="L57" s="55" t="str">
        <f t="shared" si="19"/>
        <v>YES</v>
      </c>
      <c r="M57" s="55" t="str">
        <f t="shared" si="19"/>
        <v>YES</v>
      </c>
      <c r="N57" s="55" t="str">
        <f t="shared" si="19"/>
        <v>YES</v>
      </c>
      <c r="O57" s="55" t="str">
        <f t="shared" si="19"/>
        <v>YES</v>
      </c>
      <c r="P57" s="55" t="str">
        <f t="shared" si="19"/>
        <v>NO</v>
      </c>
      <c r="Q57" s="55" t="str">
        <f t="shared" si="19"/>
        <v>YES</v>
      </c>
      <c r="R57" s="55" t="str">
        <f t="shared" si="19"/>
        <v>NO</v>
      </c>
    </row>
    <row r="58" spans="1:19" x14ac:dyDescent="0.25">
      <c r="A58" s="3" t="s">
        <v>20</v>
      </c>
      <c r="G58" s="17"/>
    </row>
    <row r="59" spans="1:19" x14ac:dyDescent="0.25">
      <c r="A59" t="s">
        <v>200</v>
      </c>
      <c r="B59" s="6">
        <f>'General Fund'!B56</f>
        <v>11774725.77</v>
      </c>
      <c r="E59" s="97"/>
      <c r="G59" s="6">
        <f t="shared" ref="G59:G67" si="20">SUM(B59:F59)</f>
        <v>11774725.77</v>
      </c>
      <c r="O59" s="48">
        <f t="shared" ref="O59:O65" si="21">SUM(H59:N59)</f>
        <v>0</v>
      </c>
      <c r="P59" s="6">
        <f t="shared" ref="P59:P65" si="22">G59+O59</f>
        <v>11774725.77</v>
      </c>
      <c r="R59" s="6">
        <f t="shared" ref="R59:R65" si="23">P59+Q59</f>
        <v>11774725.77</v>
      </c>
    </row>
    <row r="60" spans="1:19" x14ac:dyDescent="0.25">
      <c r="A60" t="s">
        <v>201</v>
      </c>
      <c r="B60" s="6">
        <f>'General Fund'!B57</f>
        <v>36683.5</v>
      </c>
      <c r="E60" s="97"/>
      <c r="G60" s="6">
        <f t="shared" si="20"/>
        <v>36683.5</v>
      </c>
      <c r="O60" s="48">
        <f t="shared" si="21"/>
        <v>0</v>
      </c>
      <c r="P60" s="6">
        <f t="shared" si="22"/>
        <v>36683.5</v>
      </c>
      <c r="R60" s="6">
        <f t="shared" si="23"/>
        <v>36683.5</v>
      </c>
    </row>
    <row r="61" spans="1:19" x14ac:dyDescent="0.25">
      <c r="A61" s="4" t="s">
        <v>21</v>
      </c>
      <c r="B61" s="6">
        <f>'General Fund'!B58</f>
        <v>2464912.4700000002</v>
      </c>
      <c r="C61" s="17">
        <f>'Capital Projects Fund'!H37</f>
        <v>0</v>
      </c>
      <c r="D61" s="17">
        <f>'Human Services'!J33</f>
        <v>16690296.030000001</v>
      </c>
      <c r="E61" s="97">
        <f>8256285.65+560554.13</f>
        <v>8816839.7800000012</v>
      </c>
      <c r="F61" s="17">
        <f>'Other Government'!AI47</f>
        <v>5612470.2500000009</v>
      </c>
      <c r="G61" s="6">
        <f t="shared" si="20"/>
        <v>33584518.530000001</v>
      </c>
      <c r="M61" s="99">
        <v>139374.35</v>
      </c>
      <c r="O61" s="48">
        <f t="shared" si="21"/>
        <v>139374.35</v>
      </c>
      <c r="P61" s="6">
        <f t="shared" si="22"/>
        <v>33723892.880000003</v>
      </c>
      <c r="R61" s="6">
        <f t="shared" si="23"/>
        <v>33723892.880000003</v>
      </c>
    </row>
    <row r="62" spans="1:19" x14ac:dyDescent="0.25">
      <c r="A62" s="4" t="s">
        <v>22</v>
      </c>
      <c r="B62" s="6">
        <f>'General Fund'!B59</f>
        <v>2316964.63</v>
      </c>
      <c r="C62" s="17">
        <f>'Capital Projects Fund'!H38</f>
        <v>0</v>
      </c>
      <c r="D62" s="17">
        <f>'Human Services'!J34</f>
        <v>120237.89</v>
      </c>
      <c r="E62" s="97">
        <f>585004.06-560554.13</f>
        <v>24449.930000000051</v>
      </c>
      <c r="F62" s="17">
        <f>'Other Government'!AI48</f>
        <v>498271.00000000006</v>
      </c>
      <c r="G62" s="6">
        <f t="shared" si="20"/>
        <v>2959923.45</v>
      </c>
      <c r="M62" s="99">
        <v>750</v>
      </c>
      <c r="O62" s="48">
        <f t="shared" si="21"/>
        <v>750</v>
      </c>
      <c r="P62" s="6">
        <f t="shared" si="22"/>
        <v>2960673.45</v>
      </c>
      <c r="R62" s="6">
        <f t="shared" si="23"/>
        <v>2960673.45</v>
      </c>
    </row>
    <row r="63" spans="1:19" x14ac:dyDescent="0.25">
      <c r="A63" s="4" t="s">
        <v>202</v>
      </c>
      <c r="B63" s="6">
        <f>'General Fund'!B60</f>
        <v>130448.96000000001</v>
      </c>
      <c r="D63" s="17">
        <f>'Human Services'!J35</f>
        <v>215287.80000000008</v>
      </c>
      <c r="E63" s="97"/>
      <c r="F63" s="17">
        <f>'Other Government'!AI49</f>
        <v>55010.97</v>
      </c>
      <c r="G63" s="6">
        <f t="shared" si="20"/>
        <v>400747.7300000001</v>
      </c>
      <c r="M63" s="99">
        <v>97985</v>
      </c>
      <c r="O63" s="48">
        <f t="shared" si="21"/>
        <v>97985</v>
      </c>
      <c r="P63" s="6">
        <f t="shared" si="22"/>
        <v>498732.7300000001</v>
      </c>
      <c r="R63" s="6">
        <f t="shared" si="23"/>
        <v>498732.7300000001</v>
      </c>
    </row>
    <row r="64" spans="1:19" x14ac:dyDescent="0.25">
      <c r="A64" s="4" t="s">
        <v>23</v>
      </c>
      <c r="B64" s="6">
        <f>'General Fund'!M61</f>
        <v>22549.869999999995</v>
      </c>
      <c r="C64" s="17">
        <f>'Capital Projects Fund'!H40</f>
        <v>631.82999999999993</v>
      </c>
      <c r="D64" s="17">
        <f>'Human Services'!J36</f>
        <v>5509.26</v>
      </c>
      <c r="E64" s="97">
        <v>466.04</v>
      </c>
      <c r="F64" s="17">
        <f>'Other Government'!AI50</f>
        <v>27320.660000000003</v>
      </c>
      <c r="G64" s="6">
        <f t="shared" si="20"/>
        <v>56477.66</v>
      </c>
      <c r="H64" s="98">
        <v>3233901.99</v>
      </c>
      <c r="L64" s="99">
        <v>223.47</v>
      </c>
      <c r="O64" s="48">
        <f>SUM(H64:N64)</f>
        <v>3234125.4600000004</v>
      </c>
      <c r="P64" s="6">
        <f t="shared" si="22"/>
        <v>3290603.1200000006</v>
      </c>
      <c r="R64" s="6">
        <f t="shared" si="23"/>
        <v>3290603.1200000006</v>
      </c>
    </row>
    <row r="65" spans="1:20" x14ac:dyDescent="0.25">
      <c r="A65" s="4" t="s">
        <v>117</v>
      </c>
      <c r="B65" s="6">
        <f>'General Fund'!B62</f>
        <v>0</v>
      </c>
      <c r="C65" s="17">
        <f>'Capital Projects Fund'!H41</f>
        <v>0</v>
      </c>
      <c r="E65" s="97"/>
      <c r="G65" s="6">
        <f t="shared" si="20"/>
        <v>0</v>
      </c>
      <c r="O65" s="48">
        <f t="shared" si="21"/>
        <v>0</v>
      </c>
      <c r="P65" s="6">
        <f t="shared" si="22"/>
        <v>0</v>
      </c>
      <c r="R65" s="6">
        <f t="shared" si="23"/>
        <v>0</v>
      </c>
      <c r="T65" s="6"/>
    </row>
    <row r="66" spans="1:20" x14ac:dyDescent="0.25">
      <c r="A66" s="4" t="s">
        <v>24</v>
      </c>
      <c r="B66" s="128">
        <f>'General Fund'!M63</f>
        <v>352595.76</v>
      </c>
      <c r="C66" s="17">
        <f>'Capital Projects Fund'!H42</f>
        <v>0</v>
      </c>
      <c r="D66" s="17">
        <f>'Human Services'!J37</f>
        <v>214519.75000000003</v>
      </c>
      <c r="E66" s="97"/>
      <c r="F66" s="17">
        <f>'Other Government'!AI51</f>
        <v>21036.32</v>
      </c>
      <c r="G66" s="6">
        <f t="shared" si="20"/>
        <v>588151.82999999996</v>
      </c>
      <c r="H66" s="98">
        <v>-3811680.17</v>
      </c>
      <c r="K66" s="48">
        <v>308885.74</v>
      </c>
      <c r="L66" s="99">
        <v>31202.080000000002</v>
      </c>
      <c r="M66" s="99">
        <f>97260.79+18370</f>
        <v>115630.79</v>
      </c>
      <c r="O66" s="48">
        <f>SUM(H66:N66)</f>
        <v>-3355961.5599999996</v>
      </c>
      <c r="P66" s="6">
        <f>G66+O66</f>
        <v>-2767809.7299999995</v>
      </c>
      <c r="R66" s="6">
        <f>P66+Q66</f>
        <v>-2767809.7299999995</v>
      </c>
    </row>
    <row r="67" spans="1:20" x14ac:dyDescent="0.25">
      <c r="A67" s="2" t="s">
        <v>25</v>
      </c>
      <c r="B67" s="6">
        <f>SUM(B59:B66)</f>
        <v>17098880.960000001</v>
      </c>
      <c r="C67" s="17">
        <f>'Capital Projects Fund'!H43</f>
        <v>631.82999999999993</v>
      </c>
      <c r="D67" s="17">
        <f>'Human Services'!J38</f>
        <v>17245850.73</v>
      </c>
      <c r="E67" s="17">
        <f>SUM(E59:E66)</f>
        <v>8841755.75</v>
      </c>
      <c r="F67" s="17">
        <f>'Other Government'!AI52</f>
        <v>6214109.2000000011</v>
      </c>
      <c r="G67" s="6">
        <f t="shared" si="20"/>
        <v>49401228.469999999</v>
      </c>
      <c r="H67" s="114">
        <f>SUM(H59:H66)</f>
        <v>-577778.1799999997</v>
      </c>
      <c r="I67" s="114">
        <f t="shared" ref="I67:R67" si="24">SUM(I59:I66)</f>
        <v>0</v>
      </c>
      <c r="J67" s="114">
        <f t="shared" si="24"/>
        <v>0</v>
      </c>
      <c r="K67" s="114">
        <f t="shared" si="24"/>
        <v>308885.74</v>
      </c>
      <c r="L67" s="114">
        <f t="shared" si="24"/>
        <v>31425.550000000003</v>
      </c>
      <c r="M67" s="114">
        <f t="shared" si="24"/>
        <v>353740.14</v>
      </c>
      <c r="N67" s="114">
        <f t="shared" si="24"/>
        <v>0</v>
      </c>
      <c r="O67" s="114">
        <f t="shared" si="24"/>
        <v>116273.25000000093</v>
      </c>
      <c r="P67" s="114">
        <f t="shared" si="24"/>
        <v>49517501.720000006</v>
      </c>
      <c r="Q67" s="114">
        <f t="shared" si="24"/>
        <v>0</v>
      </c>
      <c r="R67" s="127">
        <f t="shared" si="24"/>
        <v>49517501.720000006</v>
      </c>
      <c r="S67" t="s">
        <v>405</v>
      </c>
    </row>
    <row r="69" spans="1:20" x14ac:dyDescent="0.25">
      <c r="A69" s="3" t="s">
        <v>26</v>
      </c>
    </row>
    <row r="70" spans="1:20" x14ac:dyDescent="0.25">
      <c r="A70" s="4" t="s">
        <v>27</v>
      </c>
      <c r="B70" s="6">
        <f>'General Fund'!M67</f>
        <v>7098258.6400000015</v>
      </c>
      <c r="C70" s="17">
        <f>'Capital Projects Fund'!H46</f>
        <v>9100</v>
      </c>
      <c r="D70" s="17">
        <f>'Human Services'!J41</f>
        <v>0</v>
      </c>
      <c r="E70" s="62"/>
      <c r="F70" s="17">
        <f>'Other Government'!AI55</f>
        <v>4873.38</v>
      </c>
      <c r="G70" s="6">
        <f t="shared" ref="G70:G78" si="25">SUM(B70:F70)</f>
        <v>7112232.0200000014</v>
      </c>
      <c r="H70" s="98">
        <v>3364188.18</v>
      </c>
      <c r="K70" s="48">
        <v>5690</v>
      </c>
      <c r="L70" s="99">
        <v>220465.39</v>
      </c>
      <c r="N70" s="48">
        <f>1798021.13-200.48</f>
        <v>1797820.65</v>
      </c>
      <c r="O70" s="48">
        <f>SUM(H70:N70)</f>
        <v>5388164.2200000007</v>
      </c>
      <c r="P70" s="6">
        <f>G70+O70</f>
        <v>12500396.240000002</v>
      </c>
      <c r="R70" s="6">
        <f>P70+Q70</f>
        <v>12500396.240000002</v>
      </c>
    </row>
    <row r="71" spans="1:20" x14ac:dyDescent="0.25">
      <c r="A71" s="4" t="s">
        <v>28</v>
      </c>
      <c r="B71" s="6">
        <f>'General Fund'!M68</f>
        <v>3420921.3100000005</v>
      </c>
      <c r="C71" s="17">
        <f>'Capital Projects Fund'!H47</f>
        <v>0</v>
      </c>
      <c r="D71" s="17">
        <f>'Human Services'!J42</f>
        <v>0</v>
      </c>
      <c r="E71" s="62"/>
      <c r="F71" s="17">
        <f>'Other Government'!AI56</f>
        <v>594695.96</v>
      </c>
      <c r="G71" s="6">
        <f t="shared" si="25"/>
        <v>4015617.2700000005</v>
      </c>
      <c r="O71" s="48">
        <f t="shared" ref="O71:O78" si="26">SUM(H71:N71)</f>
        <v>0</v>
      </c>
      <c r="P71" s="6">
        <f t="shared" ref="P71:P78" si="27">G71+O71</f>
        <v>4015617.2700000005</v>
      </c>
      <c r="R71" s="6">
        <f t="shared" ref="R71:R78" si="28">P71+Q71</f>
        <v>4015617.2700000005</v>
      </c>
    </row>
    <row r="72" spans="1:20" x14ac:dyDescent="0.25">
      <c r="A72" s="4" t="s">
        <v>29</v>
      </c>
      <c r="B72" s="6">
        <f>'General Fund'!M69</f>
        <v>4859726.79</v>
      </c>
      <c r="C72" s="17">
        <f>'Capital Projects Fund'!H48</f>
        <v>0</v>
      </c>
      <c r="D72" s="17">
        <f>'Human Services'!J43</f>
        <v>0</v>
      </c>
      <c r="E72" s="62"/>
      <c r="F72" s="17">
        <f>'Other Government'!AI57</f>
        <v>1851076.3399999999</v>
      </c>
      <c r="G72" s="6">
        <f t="shared" si="25"/>
        <v>6710803.1299999999</v>
      </c>
      <c r="O72" s="48">
        <f t="shared" si="26"/>
        <v>0</v>
      </c>
      <c r="P72" s="6">
        <f t="shared" si="27"/>
        <v>6710803.1299999999</v>
      </c>
      <c r="R72" s="6">
        <f t="shared" si="28"/>
        <v>6710803.1299999999</v>
      </c>
    </row>
    <row r="73" spans="1:20" x14ac:dyDescent="0.25">
      <c r="A73" s="4" t="s">
        <v>30</v>
      </c>
      <c r="B73" s="6">
        <f>'General Fund'!M70</f>
        <v>527577.1</v>
      </c>
      <c r="C73" s="17">
        <f>'Capital Projects Fund'!H49</f>
        <v>0</v>
      </c>
      <c r="D73" s="17">
        <f>'Human Services'!J44</f>
        <v>0</v>
      </c>
      <c r="E73" s="62"/>
      <c r="F73" s="17">
        <f>'Other Government'!AI58</f>
        <v>1303670.67</v>
      </c>
      <c r="G73" s="6">
        <f t="shared" si="25"/>
        <v>1831247.77</v>
      </c>
      <c r="O73" s="48">
        <f t="shared" si="26"/>
        <v>0</v>
      </c>
      <c r="P73" s="6">
        <f t="shared" si="27"/>
        <v>1831247.77</v>
      </c>
      <c r="R73" s="6">
        <f t="shared" si="28"/>
        <v>1831247.77</v>
      </c>
    </row>
    <row r="74" spans="1:20" x14ac:dyDescent="0.25">
      <c r="A74" s="4" t="s">
        <v>31</v>
      </c>
      <c r="B74" s="17">
        <f>'General Fund'!M71</f>
        <v>125330.94</v>
      </c>
      <c r="C74" s="17">
        <f>'Capital Projects Fund'!H50</f>
        <v>0</v>
      </c>
      <c r="D74" s="17">
        <f>'Human Services'!J45</f>
        <v>17603492.559999999</v>
      </c>
      <c r="E74" s="97">
        <v>8691756.1300000008</v>
      </c>
      <c r="F74" s="17">
        <f>'Other Government'!AI59</f>
        <v>2104925.0500000003</v>
      </c>
      <c r="G74" s="6">
        <f t="shared" si="25"/>
        <v>28525504.680000003</v>
      </c>
      <c r="O74" s="48">
        <f t="shared" si="26"/>
        <v>0</v>
      </c>
      <c r="P74" s="6">
        <f t="shared" si="27"/>
        <v>28525504.680000003</v>
      </c>
      <c r="R74" s="6">
        <f t="shared" si="28"/>
        <v>28525504.680000003</v>
      </c>
    </row>
    <row r="75" spans="1:20" x14ac:dyDescent="0.25">
      <c r="A75" s="4" t="s">
        <v>63</v>
      </c>
      <c r="B75" s="17">
        <f>'General Fund'!M72</f>
        <v>660670.42999999993</v>
      </c>
      <c r="C75" s="17">
        <f>'Capital Projects Fund'!H51</f>
        <v>0</v>
      </c>
      <c r="D75" s="17">
        <f>'Human Services'!J46</f>
        <v>0</v>
      </c>
      <c r="E75" s="62"/>
      <c r="F75" s="17">
        <f>'Other Government'!AI60</f>
        <v>430737.36</v>
      </c>
      <c r="G75" s="6">
        <f t="shared" si="25"/>
        <v>1091407.79</v>
      </c>
      <c r="M75" s="99">
        <f>227504.79+1818.95</f>
        <v>229323.74000000002</v>
      </c>
      <c r="O75" s="48">
        <f t="shared" si="26"/>
        <v>229323.74000000002</v>
      </c>
      <c r="P75" s="6">
        <f t="shared" si="27"/>
        <v>1320731.53</v>
      </c>
      <c r="R75" s="6">
        <f t="shared" si="28"/>
        <v>1320731.53</v>
      </c>
    </row>
    <row r="76" spans="1:20" x14ac:dyDescent="0.25">
      <c r="A76" s="4" t="s">
        <v>229</v>
      </c>
      <c r="B76" s="17">
        <f>'General Fund'!M73</f>
        <v>394165.19</v>
      </c>
      <c r="C76" s="17">
        <f>'Capital Projects Fund'!H52</f>
        <v>0</v>
      </c>
      <c r="E76" s="62"/>
      <c r="G76" s="6">
        <f>SUM(B76:F76)</f>
        <v>394165.19</v>
      </c>
      <c r="O76" s="48">
        <f t="shared" si="26"/>
        <v>0</v>
      </c>
      <c r="P76" s="6">
        <f t="shared" si="27"/>
        <v>394165.19</v>
      </c>
      <c r="R76" s="6">
        <f t="shared" si="28"/>
        <v>394165.19</v>
      </c>
    </row>
    <row r="77" spans="1:20" x14ac:dyDescent="0.25">
      <c r="A77" s="4" t="s">
        <v>352</v>
      </c>
      <c r="B77" s="17">
        <f>'General Fund'!M75</f>
        <v>0</v>
      </c>
      <c r="C77" s="17">
        <f>'Capital Projects Fund'!H54</f>
        <v>783392</v>
      </c>
      <c r="E77" s="62"/>
      <c r="G77" s="6">
        <f t="shared" si="25"/>
        <v>783392</v>
      </c>
      <c r="O77" s="48">
        <f t="shared" si="26"/>
        <v>0</v>
      </c>
      <c r="P77" s="6">
        <f t="shared" si="27"/>
        <v>783392</v>
      </c>
      <c r="R77" s="6">
        <f t="shared" si="28"/>
        <v>783392</v>
      </c>
    </row>
    <row r="78" spans="1:20" x14ac:dyDescent="0.25">
      <c r="A78" s="2" t="s">
        <v>32</v>
      </c>
      <c r="B78" s="17">
        <f>SUM(B70:B77)</f>
        <v>17086650.400000002</v>
      </c>
      <c r="C78" s="17">
        <f>'Capital Projects Fund'!H55</f>
        <v>792492</v>
      </c>
      <c r="D78" s="17">
        <f>'Human Services'!J47</f>
        <v>17603492.559999999</v>
      </c>
      <c r="E78" s="17">
        <f>SUM(E70:E77)</f>
        <v>8691756.1300000008</v>
      </c>
      <c r="F78" s="17">
        <f>'Other Government'!AI61</f>
        <v>6289978.7599999988</v>
      </c>
      <c r="G78" s="6">
        <f t="shared" si="25"/>
        <v>50464369.850000001</v>
      </c>
      <c r="H78" s="114">
        <f>SUM(H70:H77)</f>
        <v>3364188.18</v>
      </c>
      <c r="I78" s="114">
        <f t="shared" ref="I78:N78" si="29">SUM(I70:I77)</f>
        <v>0</v>
      </c>
      <c r="J78" s="114">
        <f t="shared" si="29"/>
        <v>0</v>
      </c>
      <c r="K78" s="114">
        <f t="shared" si="29"/>
        <v>5690</v>
      </c>
      <c r="L78" s="114">
        <f t="shared" si="29"/>
        <v>220465.39</v>
      </c>
      <c r="M78" s="114">
        <f t="shared" si="29"/>
        <v>229323.74000000002</v>
      </c>
      <c r="N78" s="114">
        <f t="shared" si="29"/>
        <v>1797820.65</v>
      </c>
      <c r="O78" s="115">
        <f t="shared" si="26"/>
        <v>5617487.9600000009</v>
      </c>
      <c r="P78" s="110">
        <f t="shared" si="27"/>
        <v>56081857.810000002</v>
      </c>
      <c r="Q78" s="113"/>
      <c r="R78" s="126">
        <f t="shared" si="28"/>
        <v>56081857.810000002</v>
      </c>
      <c r="S78" t="s">
        <v>404</v>
      </c>
    </row>
    <row r="79" spans="1:20" x14ac:dyDescent="0.25">
      <c r="B79" s="17"/>
    </row>
    <row r="80" spans="1:20" x14ac:dyDescent="0.25">
      <c r="A80" s="2" t="s">
        <v>33</v>
      </c>
      <c r="B80" s="128">
        <f>'General Fund'!M78</f>
        <v>12230.559999998659</v>
      </c>
      <c r="C80" s="17">
        <f>'Capital Projects Fund'!H57</f>
        <v>-791860.16999999993</v>
      </c>
      <c r="D80" s="17">
        <f>'Human Services'!J49</f>
        <v>-357641.82999999879</v>
      </c>
      <c r="E80" s="17">
        <f>E67-E78</f>
        <v>149999.61999999918</v>
      </c>
      <c r="F80" s="17">
        <f>'Other Government'!AI63</f>
        <v>-75869.55999999959</v>
      </c>
      <c r="G80" s="6">
        <f>SUM(B80:F80)</f>
        <v>-1063141.3800000004</v>
      </c>
    </row>
    <row r="81" spans="1:19" x14ac:dyDescent="0.25">
      <c r="A81" s="2"/>
      <c r="B81" s="17"/>
    </row>
    <row r="82" spans="1:19" x14ac:dyDescent="0.25">
      <c r="A82" s="39" t="s">
        <v>301</v>
      </c>
      <c r="B82" s="17">
        <f>'General Fund'!B80</f>
        <v>3038.84</v>
      </c>
      <c r="C82" s="17">
        <f>'Capital Projects Fund'!H59</f>
        <v>0</v>
      </c>
      <c r="D82" s="17">
        <f>'Human Services'!J51</f>
        <v>9870</v>
      </c>
      <c r="E82" s="97"/>
      <c r="F82" s="17">
        <f>'Other Government'!AI65</f>
        <v>0</v>
      </c>
      <c r="G82" s="6">
        <f>SUM(B82:F82)</f>
        <v>12908.84</v>
      </c>
      <c r="O82" s="48">
        <f t="shared" ref="O82:O87" si="30">SUM(H82:N82)</f>
        <v>0</v>
      </c>
      <c r="P82" s="6">
        <f t="shared" ref="P82:P87" si="31">G82+O82</f>
        <v>12908.84</v>
      </c>
      <c r="R82" s="128">
        <f t="shared" ref="R82:R87" si="32">P82+Q82</f>
        <v>12908.84</v>
      </c>
    </row>
    <row r="83" spans="1:19" x14ac:dyDescent="0.25">
      <c r="A83" t="s">
        <v>399</v>
      </c>
      <c r="B83" s="17"/>
      <c r="C83" s="17">
        <f>'Capital Projects Fund'!H60</f>
        <v>59992</v>
      </c>
      <c r="E83" s="97"/>
      <c r="G83" s="6">
        <f t="shared" ref="G83:G85" si="33">SUM(B83:F83)</f>
        <v>59992</v>
      </c>
      <c r="O83" s="48">
        <f t="shared" si="30"/>
        <v>0</v>
      </c>
      <c r="P83" s="6">
        <f t="shared" si="31"/>
        <v>59992</v>
      </c>
      <c r="R83" s="6">
        <f t="shared" si="32"/>
        <v>59992</v>
      </c>
    </row>
    <row r="84" spans="1:19" x14ac:dyDescent="0.25">
      <c r="A84" t="s">
        <v>375</v>
      </c>
      <c r="B84" s="17"/>
      <c r="C84" s="17">
        <f>'Capital Projects Fund'!H61</f>
        <v>0</v>
      </c>
      <c r="E84" s="97"/>
      <c r="G84" s="6">
        <f t="shared" si="33"/>
        <v>0</v>
      </c>
      <c r="O84" s="48">
        <f t="shared" si="30"/>
        <v>0</v>
      </c>
      <c r="P84" s="6">
        <f t="shared" si="31"/>
        <v>0</v>
      </c>
      <c r="R84" s="6">
        <f t="shared" si="32"/>
        <v>0</v>
      </c>
    </row>
    <row r="85" spans="1:19" x14ac:dyDescent="0.25">
      <c r="A85" t="s">
        <v>376</v>
      </c>
      <c r="B85" s="17"/>
      <c r="C85" s="17">
        <f>'Capital Projects Fund'!H62</f>
        <v>0</v>
      </c>
      <c r="E85" s="97"/>
      <c r="G85" s="6">
        <f t="shared" si="33"/>
        <v>0</v>
      </c>
      <c r="O85" s="48">
        <f t="shared" si="30"/>
        <v>0</v>
      </c>
      <c r="P85" s="6">
        <f t="shared" si="31"/>
        <v>0</v>
      </c>
      <c r="R85" s="6">
        <f t="shared" si="32"/>
        <v>0</v>
      </c>
    </row>
    <row r="86" spans="1:19" x14ac:dyDescent="0.25">
      <c r="A86" t="s">
        <v>34</v>
      </c>
      <c r="B86" s="17">
        <f>'General Fund'!M81</f>
        <v>4371940.43</v>
      </c>
      <c r="C86" s="17">
        <f>'Capital Projects Fund'!H63</f>
        <v>822257.38</v>
      </c>
      <c r="D86" s="17">
        <f>'Human Services'!J52</f>
        <v>1320723.0000000002</v>
      </c>
      <c r="E86" s="97"/>
      <c r="F86" s="17">
        <f>'Other Government'!AI66</f>
        <v>2260435.4300000002</v>
      </c>
      <c r="G86" s="6">
        <f>SUM(B86:F86)</f>
        <v>8775356.2400000002</v>
      </c>
      <c r="L86" s="99">
        <f>203840.36+970.92</f>
        <v>204811.28</v>
      </c>
      <c r="O86" s="48">
        <f>SUM(H86:N86)</f>
        <v>204811.28</v>
      </c>
      <c r="P86" s="6">
        <f>G86+O86</f>
        <v>8980167.5199999996</v>
      </c>
      <c r="R86" s="128">
        <f>P86+Q86</f>
        <v>8980167.5199999996</v>
      </c>
      <c r="S86" t="s">
        <v>404</v>
      </c>
    </row>
    <row r="87" spans="1:19" x14ac:dyDescent="0.25">
      <c r="A87" t="s">
        <v>35</v>
      </c>
      <c r="B87" s="128">
        <f>'General Fund'!M82</f>
        <v>5325602.0199999996</v>
      </c>
      <c r="C87" s="17">
        <f>'Capital Projects Fund'!H64</f>
        <v>109741.8</v>
      </c>
      <c r="D87" s="17">
        <f>'Human Services'!J53</f>
        <v>996352.87999999989</v>
      </c>
      <c r="E87" s="97">
        <v>150000</v>
      </c>
      <c r="F87" s="17">
        <f>'Other Government'!AI67</f>
        <v>2193658</v>
      </c>
      <c r="G87" s="6">
        <f>SUM(B87:F87)</f>
        <v>8775354.6999999993</v>
      </c>
      <c r="K87" s="48">
        <f>303194.34+970.92</f>
        <v>304165.26</v>
      </c>
      <c r="L87" s="99">
        <v>105</v>
      </c>
      <c r="O87" s="48">
        <f t="shared" si="30"/>
        <v>304270.26</v>
      </c>
      <c r="P87" s="6">
        <f t="shared" si="31"/>
        <v>9079624.959999999</v>
      </c>
      <c r="R87" s="128">
        <f t="shared" si="32"/>
        <v>9079624.959999999</v>
      </c>
    </row>
    <row r="88" spans="1:19" x14ac:dyDescent="0.25">
      <c r="A88" s="2" t="s">
        <v>36</v>
      </c>
      <c r="B88" s="17">
        <f>'General Fund'!M83</f>
        <v>-950622.75000000035</v>
      </c>
      <c r="C88" s="17">
        <f>C82+C83+C84+C85+C86-C87</f>
        <v>772507.58</v>
      </c>
      <c r="D88" s="17">
        <f>'Human Services'!J54</f>
        <v>334240.12000000005</v>
      </c>
      <c r="E88" s="17">
        <f>E82+E86-E87</f>
        <v>-150000</v>
      </c>
      <c r="F88" s="17">
        <f>'Other Government'!AI68</f>
        <v>66777.429999999964</v>
      </c>
      <c r="G88" s="6">
        <f>G82+G83+G84+G85+G86-G87</f>
        <v>72902.38000000082</v>
      </c>
      <c r="H88" s="114">
        <f>SUM(H82:H87)</f>
        <v>0</v>
      </c>
      <c r="I88" s="114">
        <f t="shared" ref="I88:R88" si="34">SUM(I82:I87)</f>
        <v>0</v>
      </c>
      <c r="J88" s="114">
        <f t="shared" si="34"/>
        <v>0</v>
      </c>
      <c r="K88" s="114">
        <f t="shared" si="34"/>
        <v>304165.26</v>
      </c>
      <c r="L88" s="114">
        <f t="shared" si="34"/>
        <v>204916.28</v>
      </c>
      <c r="M88" s="114"/>
      <c r="N88" s="114">
        <f t="shared" si="34"/>
        <v>0</v>
      </c>
      <c r="O88" s="114">
        <f t="shared" si="34"/>
        <v>509081.54000000004</v>
      </c>
      <c r="P88" s="114">
        <f t="shared" si="34"/>
        <v>18132693.32</v>
      </c>
      <c r="Q88" s="114">
        <f t="shared" si="34"/>
        <v>0</v>
      </c>
      <c r="R88" s="114">
        <f t="shared" si="34"/>
        <v>18132693.32</v>
      </c>
    </row>
    <row r="89" spans="1:19" x14ac:dyDescent="0.25">
      <c r="B89" s="17"/>
    </row>
    <row r="90" spans="1:19" x14ac:dyDescent="0.25">
      <c r="A90" s="2" t="s">
        <v>37</v>
      </c>
      <c r="B90" s="17">
        <f>'General Fund'!M85</f>
        <v>-938392.18999999936</v>
      </c>
      <c r="C90" s="17">
        <f>'Capital Projects Fund'!H67</f>
        <v>-19352.589999999953</v>
      </c>
      <c r="D90" s="17">
        <f>'Human Services'!J56</f>
        <v>-23401.70999999874</v>
      </c>
      <c r="E90" s="17">
        <f>E80+E88</f>
        <v>-0.38000000081956387</v>
      </c>
      <c r="F90" s="17">
        <f>F80+F88</f>
        <v>-9092.1299999996263</v>
      </c>
      <c r="G90" s="6">
        <f>SUM(B90:F90)</f>
        <v>-990238.9999999986</v>
      </c>
      <c r="I90" s="98"/>
      <c r="J90" s="98"/>
      <c r="K90" s="98"/>
      <c r="L90" s="98"/>
      <c r="M90" s="98"/>
      <c r="N90" s="98"/>
      <c r="O90" s="98"/>
    </row>
    <row r="91" spans="1:19" x14ac:dyDescent="0.25">
      <c r="A91" t="s">
        <v>38</v>
      </c>
      <c r="B91" s="17">
        <f>'General Fund'!M86</f>
        <v>8474759.9299999997</v>
      </c>
      <c r="C91" s="17">
        <f>'Capital Projects Fund'!H68</f>
        <v>270433.03999999998</v>
      </c>
      <c r="D91" s="17">
        <f>'Human Services'!J57</f>
        <v>373795.42999999877</v>
      </c>
      <c r="E91" s="17">
        <f>E92-E90</f>
        <v>1.7200000008195639</v>
      </c>
      <c r="F91" s="17">
        <f>'Other Government'!AI71</f>
        <v>3391236.9000000004</v>
      </c>
      <c r="G91" s="6">
        <f>SUM(B91:F91)</f>
        <v>12510227.02</v>
      </c>
      <c r="I91" s="98"/>
      <c r="J91" s="98"/>
      <c r="K91" s="98"/>
      <c r="L91" s="98"/>
      <c r="M91" s="98"/>
      <c r="N91" s="98"/>
      <c r="O91" s="98"/>
      <c r="Q91" t="s">
        <v>406</v>
      </c>
      <c r="R91" s="6">
        <f>R19-R27-R54</f>
        <v>-17619</v>
      </c>
    </row>
    <row r="92" spans="1:19" x14ac:dyDescent="0.25">
      <c r="A92" s="2" t="s">
        <v>39</v>
      </c>
      <c r="B92" s="6">
        <f>'General Fund'!M87</f>
        <v>7536367.7400000002</v>
      </c>
      <c r="C92" s="17">
        <f>'Capital Projects Fund'!H69</f>
        <v>251080.45000000004</v>
      </c>
      <c r="D92" s="17">
        <f>'Human Services'!J58</f>
        <v>350393.72000000003</v>
      </c>
      <c r="E92" s="17">
        <f>E54</f>
        <v>1.34</v>
      </c>
      <c r="F92" s="17">
        <f>'Other Government'!AI72</f>
        <v>3382144.77</v>
      </c>
      <c r="G92" s="6">
        <f>SUM(B92:F92)</f>
        <v>11519988.02</v>
      </c>
      <c r="I92" s="98"/>
      <c r="J92" s="98"/>
      <c r="K92" s="98"/>
      <c r="L92" s="98"/>
      <c r="M92" s="98"/>
      <c r="N92" s="98"/>
      <c r="O92" s="98"/>
      <c r="Q92" t="s">
        <v>407</v>
      </c>
      <c r="R92" s="48">
        <f>R67-R78+R82+R86-R87</f>
        <v>-6650904.6899999958</v>
      </c>
    </row>
  </sheetData>
  <customSheetViews>
    <customSheetView guid="{E68B3865-8D72-47E7-BE32-0FF7EB09E889}" showPageBreaks="1" printArea="1">
      <pane xSplit="1" ySplit="6" topLeftCell="B51" activePane="bottomRight" state="frozen"/>
      <selection pane="bottomRight" activeCell="B91" sqref="B91"/>
      <rowBreaks count="1" manualBreakCount="1">
        <brk id="56" max="25" man="1"/>
      </rowBreaks>
      <colBreaks count="1" manualBreakCount="1">
        <brk id="7" max="90" man="1"/>
      </colBreaks>
      <pageMargins left="0.25" right="0.25" top="0.75" bottom="0.75" header="0.3" footer="0.3"/>
      <pageSetup paperSize="5" scale="53" fitToWidth="2" fitToHeight="0" orientation="landscape" r:id="rId1"/>
    </customSheetView>
    <customSheetView guid="{2B2709E2-6DF4-4CC4-88D0-056FB306137C}" fitToPage="1">
      <pane xSplit="1" ySplit="6" topLeftCell="B7" activePane="bottomRight" state="frozen"/>
      <selection pane="bottomRight" activeCell="B90" sqref="B90"/>
      <pageMargins left="0.7" right="0.7" top="0.75" bottom="0.75" header="0.3" footer="0.3"/>
      <pageSetup scale="67" orientation="portrait" r:id="rId2"/>
    </customSheetView>
    <customSheetView guid="{EC03C3C8-7E57-47C6-8413-F484E8C46A0C}" showPageBreaks="1" fitToPage="1">
      <pane xSplit="1" ySplit="6" topLeftCell="B54" activePane="bottomRight" state="frozen"/>
      <selection pane="bottomRight" activeCell="B61" sqref="B61"/>
      <pageMargins left="0.7" right="0.7" top="0.75" bottom="0.75" header="0.3" footer="0.3"/>
      <pageSetup scale="66" orientation="portrait" r:id="rId3"/>
    </customSheetView>
    <customSheetView guid="{D62C3EC3-27D1-41F3-9A4E-06307CA202CE}" showPageBreaks="1" fitToPage="1" showRuler="0">
      <pane xSplit="1" ySplit="6" topLeftCell="B7" activePane="bottomRight" state="frozen"/>
      <selection pane="bottomRight" activeCell="D67" sqref="D67"/>
      <pageMargins left="0.7" right="0.7" top="0.75" bottom="0.75" header="0.3" footer="0.3"/>
      <pageSetup scale="67" orientation="portrait" r:id="rId4"/>
      <headerFooter alignWithMargins="0"/>
    </customSheetView>
    <customSheetView guid="{A6F79E61-D6A3-44FD-B4A4-4724DF74349B}" showPageBreaks="1" fitToPage="1" topLeftCell="A49">
      <selection activeCell="F61" sqref="F61"/>
      <pageMargins left="0.7" right="0.7" top="0.75" bottom="0.75" header="0.3" footer="0.3"/>
      <pageSetup scale="49" orientation="portrait" r:id="rId5"/>
      <headerFooter>
        <oddHeader xml:space="preserve">&amp;C
</oddHeader>
      </headerFooter>
    </customSheetView>
    <customSheetView guid="{DE6E911D-85BF-467A-AA00-1E84C5349CF7}" showPageBreaks="1" fitToPage="1">
      <pane xSplit="1" ySplit="6" topLeftCell="B31" activePane="bottomRight" state="frozen"/>
      <selection pane="bottomRight" activeCell="D49" sqref="D49"/>
      <pageMargins left="0" right="0" top="0" bottom="0" header="0" footer="0"/>
      <pageSetup scale="33" orientation="landscape" r:id="rId6"/>
    </customSheetView>
  </customSheetViews>
  <phoneticPr fontId="0" type="noConversion"/>
  <pageMargins left="0.25" right="0.25" top="0.75" bottom="0.75" header="0.3" footer="0.3"/>
  <pageSetup paperSize="5" scale="53" fitToWidth="2" fitToHeight="0" orientation="landscape" r:id="rId7"/>
  <rowBreaks count="1" manualBreakCount="1">
    <brk id="56" max="25" man="1"/>
  </rowBreaks>
  <colBreaks count="1" manualBreakCount="1">
    <brk id="7" max="90" man="1"/>
  </colBreaks>
  <legacy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5"/>
  <sheetViews>
    <sheetView zoomScale="90" zoomScaleNormal="90" workbookViewId="0">
      <pane xSplit="6" ySplit="6" topLeftCell="Q60" activePane="bottomRight" state="frozen"/>
      <selection pane="topRight" activeCell="G1" sqref="G1"/>
      <selection pane="bottomLeft" activeCell="A7" sqref="A7"/>
      <selection pane="bottomRight" activeCell="R78" sqref="R78"/>
    </sheetView>
  </sheetViews>
  <sheetFormatPr defaultRowHeight="15" x14ac:dyDescent="0.25"/>
  <cols>
    <col min="1" max="1" width="59.5703125" bestFit="1" customWidth="1"/>
    <col min="2" max="2" width="15.85546875" style="48" customWidth="1"/>
    <col min="3" max="3" width="17.28515625" style="48" bestFit="1" customWidth="1"/>
    <col min="4" max="4" width="15.85546875" style="48" bestFit="1" customWidth="1"/>
    <col min="5" max="5" width="15.5703125" style="48" bestFit="1" customWidth="1"/>
    <col min="6" max="6" width="14.85546875" style="48" customWidth="1"/>
    <col min="7" max="7" width="15.85546875" style="48" bestFit="1" customWidth="1"/>
    <col min="8" max="8" width="13" customWidth="1"/>
    <col min="9" max="9" width="15.28515625" customWidth="1"/>
    <col min="10" max="10" width="13.5703125" customWidth="1"/>
    <col min="11" max="11" width="16" customWidth="1"/>
    <col min="12" max="12" width="13.5703125" customWidth="1"/>
    <col min="13" max="13" width="11.28515625" bestFit="1" customWidth="1"/>
    <col min="14" max="14" width="14.7109375" customWidth="1"/>
    <col min="15" max="15" width="13.42578125" customWidth="1"/>
    <col min="16" max="16" width="15.28515625" customWidth="1"/>
    <col min="17" max="17" width="13" customWidth="1"/>
    <col min="18" max="18" width="17" bestFit="1" customWidth="1"/>
    <col min="19" max="19" width="16.5703125" bestFit="1" customWidth="1"/>
    <col min="20" max="20" width="25" bestFit="1" customWidth="1"/>
    <col min="25" max="25" width="12.7109375" bestFit="1" customWidth="1"/>
  </cols>
  <sheetData>
    <row r="1" spans="1:18" ht="23.25" x14ac:dyDescent="0.35">
      <c r="A1" s="141" t="str">
        <f>'ALL GOVERNMENT FUNDS'!A1</f>
        <v>ALL GOVERNMENT FUNDS</v>
      </c>
    </row>
    <row r="2" spans="1:18" x14ac:dyDescent="0.25">
      <c r="A2" t="str">
        <f>'ALL GOVERNMENT FUNDS'!A2</f>
        <v>Combining Balance sheet and Statement of Revenue &amp; Expenses</v>
      </c>
    </row>
    <row r="3" spans="1:18" x14ac:dyDescent="0.25">
      <c r="A3" s="151">
        <v>2018</v>
      </c>
    </row>
    <row r="4" spans="1:18" x14ac:dyDescent="0.25">
      <c r="A4" s="152" t="s">
        <v>435</v>
      </c>
    </row>
    <row r="6" spans="1:18" ht="45" x14ac:dyDescent="0.25">
      <c r="B6" s="142" t="str">
        <f>'ALL GOVERNMENT FUNDS'!B6</f>
        <v>General 
Fund</v>
      </c>
      <c r="C6" s="142" t="str">
        <f>'ALL GOVERNMENT FUNDS'!C6</f>
        <v>Capital Projects 
Fund (3000/4000/4100)</v>
      </c>
      <c r="D6" s="142" t="str">
        <f>'ALL GOVERNMENT FUNDS'!D6</f>
        <v>Human Services
 Fund</v>
      </c>
      <c r="E6" s="142" t="str">
        <f>'ALL GOVERNMENT FUNDS'!E6</f>
        <v>2590
Workforce
Development</v>
      </c>
      <c r="F6" s="142" t="str">
        <f>'ALL GOVERNMENT FUNDS'!F6</f>
        <v>Other Governmental
 Funds</v>
      </c>
      <c r="G6" s="142" t="str">
        <f>'ALL GOVERNMENT FUNDS'!G6</f>
        <v>TOTAL GOVT 
FUNDS</v>
      </c>
      <c r="H6" s="102" t="s">
        <v>412</v>
      </c>
      <c r="I6" s="102" t="s">
        <v>413</v>
      </c>
      <c r="J6" s="102" t="s">
        <v>414</v>
      </c>
      <c r="K6" s="102" t="s">
        <v>415</v>
      </c>
      <c r="L6" s="102" t="s">
        <v>416</v>
      </c>
      <c r="M6" s="102" t="s">
        <v>417</v>
      </c>
      <c r="N6" s="102" t="s">
        <v>418</v>
      </c>
      <c r="O6" s="102" t="s">
        <v>419</v>
      </c>
      <c r="P6" s="102" t="s">
        <v>420</v>
      </c>
      <c r="Q6" s="102" t="s">
        <v>421</v>
      </c>
      <c r="R6" s="102" t="s">
        <v>422</v>
      </c>
    </row>
    <row r="7" spans="1:18" x14ac:dyDescent="0.25">
      <c r="A7" s="146" t="str">
        <f>'ALL GOVERNMENT FUNDS'!A7</f>
        <v>Assets</v>
      </c>
      <c r="B7" s="48">
        <f>'ALL GOVERNMENT FUNDS'!B7</f>
        <v>0</v>
      </c>
      <c r="C7" s="48">
        <f>'ALL GOVERNMENT FUNDS'!C7</f>
        <v>0</v>
      </c>
      <c r="D7" s="48">
        <f>'ALL GOVERNMENT FUNDS'!D7</f>
        <v>0</v>
      </c>
      <c r="E7" s="48">
        <f>'ALL GOVERNMENT FUNDS'!E7</f>
        <v>0</v>
      </c>
      <c r="F7" s="48">
        <f>'ALL GOVERNMENT FUNDS'!F7</f>
        <v>0</v>
      </c>
      <c r="G7" s="48">
        <f>'ALL GOVERNMENT FUNDS'!G7</f>
        <v>0</v>
      </c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39"/>
    </row>
    <row r="8" spans="1:18" x14ac:dyDescent="0.25">
      <c r="A8" t="str">
        <f>'ALL GOVERNMENT FUNDS'!A8</f>
        <v>Cash &amp; cash equivalents</v>
      </c>
      <c r="B8" s="48">
        <f>'ALL GOVERNMENT FUNDS'!B8</f>
        <v>7596565.3500000006</v>
      </c>
      <c r="C8" s="48">
        <f>'ALL GOVERNMENT FUNDS'!C8</f>
        <v>251080.67000000004</v>
      </c>
      <c r="D8" s="48">
        <f>'ALL GOVERNMENT FUNDS'!D8</f>
        <v>-837675.43000000017</v>
      </c>
      <c r="E8" s="48">
        <f>'ALL GOVERNMENT FUNDS'!E8</f>
        <v>-1402616.41</v>
      </c>
      <c r="F8" s="48">
        <f>'ALL GOVERNMENT FUNDS'!F8</f>
        <v>3512949.11</v>
      </c>
      <c r="G8" s="48">
        <f>'ALL GOVERNMENT FUNDS'!G8</f>
        <v>9120303.2899999991</v>
      </c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53">
        <f>SUM(G8:Q8)</f>
        <v>9120303.2899999991</v>
      </c>
    </row>
    <row r="9" spans="1:18" x14ac:dyDescent="0.25">
      <c r="A9" t="str">
        <f>'ALL GOVERNMENT FUNDS'!A9</f>
        <v>Advances Receivable</v>
      </c>
      <c r="B9" s="48">
        <f>'ALL GOVERNMENT FUNDS'!B9</f>
        <v>0</v>
      </c>
      <c r="C9" s="48">
        <f>'ALL GOVERNMENT FUNDS'!C9</f>
        <v>0</v>
      </c>
      <c r="D9" s="48">
        <f>'ALL GOVERNMENT FUNDS'!D9</f>
        <v>0</v>
      </c>
      <c r="E9" s="48">
        <f>'ALL GOVERNMENT FUNDS'!E9</f>
        <v>0</v>
      </c>
      <c r="F9" s="48">
        <f>'ALL GOVERNMENT FUNDS'!F9</f>
        <v>0</v>
      </c>
      <c r="G9" s="48">
        <f>'ALL GOVERNMENT FUNDS'!G9</f>
        <v>0</v>
      </c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39">
        <f t="shared" ref="R9:R91" si="0">SUM(G9:Q9)</f>
        <v>0</v>
      </c>
    </row>
    <row r="10" spans="1:18" x14ac:dyDescent="0.25">
      <c r="A10" t="str">
        <f>'ALL GOVERNMENT FUNDS'!A10</f>
        <v>Taxes Receivable</v>
      </c>
      <c r="B10" s="48">
        <f>'ALL GOVERNMENT FUNDS'!B10</f>
        <v>1533216.4400000002</v>
      </c>
      <c r="C10" s="48">
        <f>'ALL GOVERNMENT FUNDS'!C10</f>
        <v>0</v>
      </c>
      <c r="D10" s="48">
        <f>'ALL GOVERNMENT FUNDS'!D10</f>
        <v>0</v>
      </c>
      <c r="E10" s="48">
        <f>'ALL GOVERNMENT FUNDS'!E10</f>
        <v>0</v>
      </c>
      <c r="F10" s="48">
        <f>'ALL GOVERNMENT FUNDS'!F10</f>
        <v>0</v>
      </c>
      <c r="G10" s="48">
        <f>'ALL GOVERNMENT FUNDS'!G10</f>
        <v>1533216.4400000002</v>
      </c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53">
        <f t="shared" si="0"/>
        <v>1533216.4400000002</v>
      </c>
    </row>
    <row r="11" spans="1:18" x14ac:dyDescent="0.25">
      <c r="A11" t="str">
        <f>'ALL GOVERNMENT FUNDS'!A11</f>
        <v>A/R</v>
      </c>
      <c r="B11" s="48">
        <f>'ALL GOVERNMENT FUNDS'!B11</f>
        <v>621240.54</v>
      </c>
      <c r="C11" s="48">
        <f>'ALL GOVERNMENT FUNDS'!C11</f>
        <v>0</v>
      </c>
      <c r="D11" s="48">
        <f>'ALL GOVERNMENT FUNDS'!D11</f>
        <v>415966.26</v>
      </c>
      <c r="E11" s="48">
        <f>'ALL GOVERNMENT FUNDS'!E11</f>
        <v>0</v>
      </c>
      <c r="F11" s="48">
        <f>'ALL GOVERNMENT FUNDS'!F11</f>
        <v>941474.22</v>
      </c>
      <c r="G11" s="48">
        <f>'ALL GOVERNMENT FUNDS'!G11</f>
        <v>1978681.02</v>
      </c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39">
        <f t="shared" si="0"/>
        <v>1978681.02</v>
      </c>
    </row>
    <row r="12" spans="1:18" x14ac:dyDescent="0.25">
      <c r="A12" t="str">
        <f>'ALL GOVERNMENT FUNDS'!A12</f>
        <v>Due from Component Unit</v>
      </c>
      <c r="B12" s="48">
        <f>'ALL GOVERNMENT FUNDS'!B12</f>
        <v>17619</v>
      </c>
      <c r="C12" s="48">
        <f>'ALL GOVERNMENT FUNDS'!C12</f>
        <v>0</v>
      </c>
      <c r="D12" s="48">
        <f>'ALL GOVERNMENT FUNDS'!D12</f>
        <v>0</v>
      </c>
      <c r="E12" s="48">
        <f>'ALL GOVERNMENT FUNDS'!E12</f>
        <v>0</v>
      </c>
      <c r="F12" s="48">
        <f>'ALL GOVERNMENT FUNDS'!F12</f>
        <v>0</v>
      </c>
      <c r="G12" s="48">
        <f>'ALL GOVERNMENT FUNDS'!G12</f>
        <v>17619</v>
      </c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53">
        <f t="shared" si="0"/>
        <v>17619</v>
      </c>
    </row>
    <row r="13" spans="1:18" x14ac:dyDescent="0.25">
      <c r="A13" t="str">
        <f>'ALL GOVERNMENT FUNDS'!A13</f>
        <v>Due from Other  Funds</v>
      </c>
      <c r="B13" s="48">
        <f>'ALL GOVERNMENT FUNDS'!B13</f>
        <v>612882.85</v>
      </c>
      <c r="C13" s="48">
        <f>'ALL GOVERNMENT FUNDS'!C13</f>
        <v>-0.21999999999999886</v>
      </c>
      <c r="D13" s="48">
        <f>'ALL GOVERNMENT FUNDS'!D13</f>
        <v>83900.51999999999</v>
      </c>
      <c r="E13" s="48">
        <f>'ALL GOVERNMENT FUNDS'!E13</f>
        <v>0</v>
      </c>
      <c r="F13" s="48">
        <f>'ALL GOVERNMENT FUNDS'!F13</f>
        <v>58642.639999999992</v>
      </c>
      <c r="G13" s="48">
        <f>'ALL GOVERNMENT FUNDS'!G13</f>
        <v>755425.79</v>
      </c>
      <c r="H13" s="144"/>
      <c r="I13" s="144"/>
      <c r="J13" s="144"/>
      <c r="K13" s="144"/>
      <c r="L13" s="144"/>
      <c r="M13" s="144"/>
      <c r="N13" s="144"/>
      <c r="O13" s="144"/>
      <c r="P13" s="144"/>
      <c r="Q13" s="144">
        <f>-254148.46-501277.33</f>
        <v>-755425.79</v>
      </c>
      <c r="R13" s="139">
        <f t="shared" si="0"/>
        <v>0</v>
      </c>
    </row>
    <row r="14" spans="1:18" x14ac:dyDescent="0.25">
      <c r="A14" t="str">
        <f>'ALL GOVERNMENT FUNDS'!A14</f>
        <v>Due from Other Governments</v>
      </c>
      <c r="B14" s="48">
        <f>'ALL GOVERNMENT FUNDS'!B14</f>
        <v>67643.23</v>
      </c>
      <c r="C14" s="48">
        <f>'ALL GOVERNMENT FUNDS'!C14</f>
        <v>0</v>
      </c>
      <c r="D14" s="48">
        <f>'ALL GOVERNMENT FUNDS'!D14</f>
        <v>4224524.46</v>
      </c>
      <c r="E14" s="48">
        <f>'ALL GOVERNMENT FUNDS'!E14</f>
        <v>2180845</v>
      </c>
      <c r="F14" s="48">
        <f>'ALL GOVERNMENT FUNDS'!F14</f>
        <v>301246.51</v>
      </c>
      <c r="G14" s="48">
        <f>'ALL GOVERNMENT FUNDS'!G14</f>
        <v>6774259.2000000002</v>
      </c>
      <c r="H14" s="144"/>
      <c r="I14" s="144"/>
      <c r="J14" s="144"/>
      <c r="K14" s="144"/>
      <c r="L14" s="144"/>
      <c r="M14" s="144"/>
      <c r="N14" s="144"/>
      <c r="O14" s="144"/>
      <c r="P14" s="144"/>
      <c r="Q14" s="144">
        <v>501277.33</v>
      </c>
      <c r="R14" s="139">
        <f t="shared" si="0"/>
        <v>7275536.5300000003</v>
      </c>
    </row>
    <row r="15" spans="1:18" x14ac:dyDescent="0.25">
      <c r="A15" t="s">
        <v>428</v>
      </c>
      <c r="B15" s="150">
        <v>0</v>
      </c>
      <c r="C15" s="150">
        <v>0</v>
      </c>
      <c r="D15" s="150">
        <v>0</v>
      </c>
      <c r="E15" s="150">
        <v>0</v>
      </c>
      <c r="F15" s="150">
        <v>0</v>
      </c>
      <c r="G15" s="150">
        <f>SUM(B15:F15)</f>
        <v>0</v>
      </c>
      <c r="H15" s="144"/>
      <c r="I15" s="144"/>
      <c r="J15" s="144"/>
      <c r="K15" s="144"/>
      <c r="L15" s="144"/>
      <c r="M15" s="144"/>
      <c r="N15" s="144"/>
      <c r="O15" s="144"/>
      <c r="P15" s="144">
        <v>1465477</v>
      </c>
      <c r="Q15" s="144"/>
      <c r="R15" s="153">
        <f t="shared" si="0"/>
        <v>1465477</v>
      </c>
    </row>
    <row r="16" spans="1:18" x14ac:dyDescent="0.25">
      <c r="A16" t="s">
        <v>429</v>
      </c>
      <c r="B16" s="150">
        <v>0</v>
      </c>
      <c r="C16" s="150">
        <v>0</v>
      </c>
      <c r="D16" s="150">
        <v>0</v>
      </c>
      <c r="E16" s="150">
        <v>0</v>
      </c>
      <c r="F16" s="150">
        <v>0</v>
      </c>
      <c r="G16" s="150">
        <f t="shared" ref="G16:G19" si="1">SUM(B16:F16)</f>
        <v>0</v>
      </c>
      <c r="H16" s="144"/>
      <c r="I16" s="144"/>
      <c r="J16" s="144"/>
      <c r="K16" s="144"/>
      <c r="L16" s="144"/>
      <c r="M16" s="144"/>
      <c r="N16" s="144">
        <v>2119678</v>
      </c>
      <c r="O16" s="144"/>
      <c r="P16" s="144"/>
      <c r="Q16" s="144"/>
      <c r="R16" s="153">
        <f t="shared" si="0"/>
        <v>2119678</v>
      </c>
    </row>
    <row r="17" spans="1:19" x14ac:dyDescent="0.25">
      <c r="A17" t="s">
        <v>430</v>
      </c>
      <c r="B17" s="150">
        <v>0</v>
      </c>
      <c r="C17" s="150">
        <v>0</v>
      </c>
      <c r="D17" s="150">
        <v>0</v>
      </c>
      <c r="E17" s="150">
        <v>0</v>
      </c>
      <c r="F17" s="150">
        <v>0</v>
      </c>
      <c r="G17" s="150">
        <f t="shared" si="1"/>
        <v>0</v>
      </c>
      <c r="H17" s="144"/>
      <c r="I17" s="144"/>
      <c r="J17" s="144"/>
      <c r="K17" s="144"/>
      <c r="L17" s="144"/>
      <c r="M17" s="144"/>
      <c r="N17" s="144">
        <f>61502253+1100990-395530</f>
        <v>62207713</v>
      </c>
      <c r="O17" s="144"/>
      <c r="P17" s="144"/>
      <c r="Q17" s="144"/>
      <c r="R17" s="153">
        <f t="shared" si="0"/>
        <v>62207713</v>
      </c>
    </row>
    <row r="18" spans="1:19" x14ac:dyDescent="0.25">
      <c r="A18" t="s">
        <v>431</v>
      </c>
      <c r="B18" s="150">
        <v>0</v>
      </c>
      <c r="C18" s="150">
        <v>0</v>
      </c>
      <c r="D18" s="150">
        <v>0</v>
      </c>
      <c r="E18" s="150">
        <v>0</v>
      </c>
      <c r="F18" s="150">
        <v>0</v>
      </c>
      <c r="G18" s="150">
        <f t="shared" si="1"/>
        <v>0</v>
      </c>
      <c r="H18" s="144"/>
      <c r="I18" s="144"/>
      <c r="J18" s="144"/>
      <c r="K18" s="144"/>
      <c r="L18" s="144"/>
      <c r="M18" s="144"/>
      <c r="N18" s="144">
        <f>-38041860+291017-1798021</f>
        <v>-39548864</v>
      </c>
      <c r="O18" s="144"/>
      <c r="P18" s="144"/>
      <c r="Q18" s="144"/>
      <c r="R18" s="153">
        <f t="shared" si="0"/>
        <v>-39548864</v>
      </c>
      <c r="S18" s="48">
        <f>SUM(R17:R18)</f>
        <v>22658849</v>
      </c>
    </row>
    <row r="19" spans="1:19" x14ac:dyDescent="0.25">
      <c r="A19" t="s">
        <v>433</v>
      </c>
      <c r="B19" s="150">
        <v>0</v>
      </c>
      <c r="C19" s="150">
        <v>0</v>
      </c>
      <c r="D19" s="150">
        <v>0</v>
      </c>
      <c r="E19" s="150">
        <v>0</v>
      </c>
      <c r="F19" s="150">
        <v>0</v>
      </c>
      <c r="G19" s="150">
        <f t="shared" si="1"/>
        <v>0</v>
      </c>
      <c r="H19" s="144"/>
      <c r="I19" s="144"/>
      <c r="J19" s="144"/>
      <c r="K19" s="144"/>
      <c r="L19" s="144"/>
      <c r="M19" s="144"/>
      <c r="N19" s="144"/>
      <c r="O19" s="144"/>
      <c r="P19" s="144">
        <v>5900659</v>
      </c>
      <c r="Q19" s="144"/>
      <c r="R19" s="153">
        <f t="shared" si="0"/>
        <v>5900659</v>
      </c>
    </row>
    <row r="20" spans="1:19" x14ac:dyDescent="0.25">
      <c r="A20" t="str">
        <f>'ALL GOVERNMENT FUNDS'!A15</f>
        <v>Other Assets</v>
      </c>
      <c r="B20" s="48">
        <f>'ALL GOVERNMENT FUNDS'!B15</f>
        <v>0</v>
      </c>
      <c r="C20" s="48">
        <f>'ALL GOVERNMENT FUNDS'!C15</f>
        <v>0</v>
      </c>
      <c r="D20" s="48">
        <f>'ALL GOVERNMENT FUNDS'!D15</f>
        <v>0</v>
      </c>
      <c r="E20" s="48">
        <f>'ALL GOVERNMENT FUNDS'!E15</f>
        <v>0</v>
      </c>
      <c r="F20" s="48">
        <f>'ALL GOVERNMENT FUNDS'!F15</f>
        <v>58641.72</v>
      </c>
      <c r="G20" s="48">
        <f>'ALL GOVERNMENT FUNDS'!G15</f>
        <v>58641.72</v>
      </c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39">
        <f t="shared" si="0"/>
        <v>58641.72</v>
      </c>
    </row>
    <row r="21" spans="1:19" x14ac:dyDescent="0.25">
      <c r="A21" t="str">
        <f>'ALL GOVERNMENT FUNDS'!A16</f>
        <v>Lease Receivable</v>
      </c>
      <c r="B21" s="48">
        <f>'ALL GOVERNMENT FUNDS'!B16</f>
        <v>0</v>
      </c>
      <c r="C21" s="48">
        <f>'ALL GOVERNMENT FUNDS'!C16</f>
        <v>0</v>
      </c>
      <c r="D21" s="48">
        <f>'ALL GOVERNMENT FUNDS'!D16</f>
        <v>0</v>
      </c>
      <c r="E21" s="48">
        <f>'ALL GOVERNMENT FUNDS'!E16</f>
        <v>0</v>
      </c>
      <c r="F21" s="48">
        <f>'ALL GOVERNMENT FUNDS'!F16</f>
        <v>0</v>
      </c>
      <c r="G21" s="48">
        <f>'ALL GOVERNMENT FUNDS'!G16</f>
        <v>0</v>
      </c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39">
        <f t="shared" si="0"/>
        <v>0</v>
      </c>
    </row>
    <row r="22" spans="1:19" x14ac:dyDescent="0.25">
      <c r="A22" t="str">
        <f>'ALL GOVERNMENT FUNDS'!A17</f>
        <v xml:space="preserve">       Current</v>
      </c>
      <c r="B22" s="48">
        <f>'ALL GOVERNMENT FUNDS'!B17</f>
        <v>0</v>
      </c>
      <c r="C22" s="48">
        <f>'ALL GOVERNMENT FUNDS'!C17</f>
        <v>0</v>
      </c>
      <c r="D22" s="48">
        <f>'ALL GOVERNMENT FUNDS'!D17</f>
        <v>0</v>
      </c>
      <c r="E22" s="48">
        <f>'ALL GOVERNMENT FUNDS'!E17</f>
        <v>0</v>
      </c>
      <c r="F22" s="48">
        <f>'ALL GOVERNMENT FUNDS'!F17</f>
        <v>0</v>
      </c>
      <c r="G22" s="48">
        <f>'ALL GOVERNMENT FUNDS'!G17</f>
        <v>0</v>
      </c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39">
        <f t="shared" si="0"/>
        <v>0</v>
      </c>
    </row>
    <row r="23" spans="1:19" x14ac:dyDescent="0.25">
      <c r="A23" t="str">
        <f>'ALL GOVERNMENT FUNDS'!A18</f>
        <v xml:space="preserve">       Non-Current</v>
      </c>
      <c r="B23" s="48">
        <f>'ALL GOVERNMENT FUNDS'!B18</f>
        <v>0</v>
      </c>
      <c r="C23" s="48">
        <f>'ALL GOVERNMENT FUNDS'!C18</f>
        <v>0</v>
      </c>
      <c r="D23" s="48">
        <f>'ALL GOVERNMENT FUNDS'!D18</f>
        <v>0</v>
      </c>
      <c r="E23" s="48">
        <f>'ALL GOVERNMENT FUNDS'!E18</f>
        <v>0</v>
      </c>
      <c r="F23" s="48">
        <f>'ALL GOVERNMENT FUNDS'!F18</f>
        <v>0</v>
      </c>
      <c r="G23" s="48">
        <f>'ALL GOVERNMENT FUNDS'!G18</f>
        <v>0</v>
      </c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39">
        <f t="shared" si="0"/>
        <v>0</v>
      </c>
    </row>
    <row r="24" spans="1:19" x14ac:dyDescent="0.25">
      <c r="A24" s="77" t="str">
        <f>'ALL GOVERNMENT FUNDS'!A19</f>
        <v>Total Assets</v>
      </c>
      <c r="B24" s="138">
        <f>'ALL GOVERNMENT FUNDS'!B19</f>
        <v>10449167.410000002</v>
      </c>
      <c r="C24" s="138">
        <f>'ALL GOVERNMENT FUNDS'!C19</f>
        <v>251080.45000000004</v>
      </c>
      <c r="D24" s="138">
        <f>'ALL GOVERNMENT FUNDS'!D19</f>
        <v>3886715.81</v>
      </c>
      <c r="E24" s="138">
        <f>'ALL GOVERNMENT FUNDS'!E19</f>
        <v>778228.59000000008</v>
      </c>
      <c r="F24" s="138">
        <f>'ALL GOVERNMENT FUNDS'!F19</f>
        <v>4872954.2</v>
      </c>
      <c r="G24" s="138">
        <f>'ALL GOVERNMENT FUNDS'!G19</f>
        <v>20238146.460000001</v>
      </c>
      <c r="H24" s="147">
        <f t="shared" ref="H24:Q24" si="2">SUM(H8:H23)</f>
        <v>0</v>
      </c>
      <c r="I24" s="147">
        <f t="shared" si="2"/>
        <v>0</v>
      </c>
      <c r="J24" s="147">
        <f t="shared" si="2"/>
        <v>0</v>
      </c>
      <c r="K24" s="147">
        <f t="shared" si="2"/>
        <v>0</v>
      </c>
      <c r="L24" s="147">
        <f t="shared" si="2"/>
        <v>0</v>
      </c>
      <c r="M24" s="147">
        <f t="shared" si="2"/>
        <v>0</v>
      </c>
      <c r="N24" s="147">
        <f t="shared" si="2"/>
        <v>24778527</v>
      </c>
      <c r="O24" s="147">
        <f t="shared" si="2"/>
        <v>0</v>
      </c>
      <c r="P24" s="147">
        <f t="shared" si="2"/>
        <v>7366136</v>
      </c>
      <c r="Q24" s="147">
        <f t="shared" si="2"/>
        <v>-254148.46000000002</v>
      </c>
      <c r="R24" s="140">
        <f t="shared" si="0"/>
        <v>52128661</v>
      </c>
      <c r="S24" s="153">
        <f>R24-P19</f>
        <v>46228002</v>
      </c>
    </row>
    <row r="25" spans="1:19" x14ac:dyDescent="0.25">
      <c r="R25" s="139"/>
    </row>
    <row r="26" spans="1:19" x14ac:dyDescent="0.25">
      <c r="A26" s="146" t="str">
        <f>'ALL GOVERNMENT FUNDS'!A21</f>
        <v>Liabilities</v>
      </c>
      <c r="H26" s="144"/>
      <c r="I26" s="144"/>
      <c r="J26" s="144"/>
      <c r="K26" s="144"/>
      <c r="L26" s="144"/>
      <c r="M26" s="144"/>
      <c r="N26" s="144"/>
      <c r="O26" s="144"/>
      <c r="P26" s="144"/>
      <c r="R26" s="139"/>
    </row>
    <row r="27" spans="1:19" x14ac:dyDescent="0.25">
      <c r="A27" t="str">
        <f>'ALL GOVERNMENT FUNDS'!A22</f>
        <v>A/P</v>
      </c>
      <c r="B27" s="48">
        <f>'ALL GOVERNMENT FUNDS'!B22</f>
        <v>740275.48</v>
      </c>
      <c r="C27" s="48">
        <f>'ALL GOVERNMENT FUNDS'!C22</f>
        <v>0</v>
      </c>
      <c r="D27" s="48">
        <f>'ALL GOVERNMENT FUNDS'!D22</f>
        <v>1004918.8500000001</v>
      </c>
      <c r="E27" s="48">
        <f>'ALL GOVERNMENT FUNDS'!E22</f>
        <v>662280.94999999995</v>
      </c>
      <c r="F27" s="48">
        <f>'ALL GOVERNMENT FUNDS'!F22</f>
        <v>280805.36000000004</v>
      </c>
      <c r="G27" s="48">
        <f>'ALL GOVERNMENT FUNDS'!G22</f>
        <v>2688280.64</v>
      </c>
      <c r="H27" s="144"/>
      <c r="I27" s="144"/>
      <c r="J27" s="144"/>
      <c r="K27" s="144"/>
      <c r="L27" s="144"/>
      <c r="M27" s="144"/>
      <c r="N27" s="144"/>
      <c r="O27" s="144"/>
      <c r="P27" s="144"/>
      <c r="R27" s="139">
        <f t="shared" si="0"/>
        <v>2688280.64</v>
      </c>
    </row>
    <row r="28" spans="1:19" x14ac:dyDescent="0.25">
      <c r="A28" t="str">
        <f>'ALL GOVERNMENT FUNDS'!A23</f>
        <v>Accrued Payroll</v>
      </c>
      <c r="B28" s="48">
        <f>'ALL GOVERNMENT FUNDS'!B23</f>
        <v>338235.15</v>
      </c>
      <c r="C28" s="48">
        <f>'ALL GOVERNMENT FUNDS'!C23</f>
        <v>0</v>
      </c>
      <c r="D28" s="48">
        <f>'ALL GOVERNMENT FUNDS'!D23</f>
        <v>287416.61</v>
      </c>
      <c r="E28" s="48">
        <f>'ALL GOVERNMENT FUNDS'!E23</f>
        <v>0</v>
      </c>
      <c r="F28" s="48">
        <f>'ALL GOVERNMENT FUNDS'!F23</f>
        <v>47208.3</v>
      </c>
      <c r="G28" s="48">
        <f>'ALL GOVERNMENT FUNDS'!G23</f>
        <v>672860.06</v>
      </c>
      <c r="H28" s="144"/>
      <c r="I28" s="144"/>
      <c r="J28" s="144"/>
      <c r="K28" s="144"/>
      <c r="L28" s="144"/>
      <c r="M28" s="144"/>
      <c r="N28" s="144"/>
      <c r="O28" s="144"/>
      <c r="P28" s="144"/>
      <c r="R28" s="153">
        <f t="shared" si="0"/>
        <v>672860.06</v>
      </c>
    </row>
    <row r="29" spans="1:19" x14ac:dyDescent="0.25">
      <c r="A29" t="str">
        <f>'ALL GOVERNMENT FUNDS'!A24</f>
        <v>Due to Other Funds</v>
      </c>
      <c r="B29" s="48">
        <f>'ALL GOVERNMENT FUNDS'!B24</f>
        <v>106403.43</v>
      </c>
      <c r="C29" s="48">
        <f>'ALL GOVERNMENT FUNDS'!C24</f>
        <v>0</v>
      </c>
      <c r="D29" s="48">
        <f>'ALL GOVERNMENT FUNDS'!D24</f>
        <v>160355</v>
      </c>
      <c r="E29" s="48">
        <f>'ALL GOVERNMENT FUNDS'!E24</f>
        <v>0</v>
      </c>
      <c r="F29" s="48">
        <f>'ALL GOVERNMENT FUNDS'!F24</f>
        <v>0</v>
      </c>
      <c r="G29" s="48">
        <f>'ALL GOVERNMENT FUNDS'!G24</f>
        <v>266758.43</v>
      </c>
      <c r="H29" s="144"/>
      <c r="I29" s="144"/>
      <c r="J29" s="144"/>
      <c r="K29" s="144"/>
      <c r="L29" s="144"/>
      <c r="M29" s="144"/>
      <c r="N29" s="144"/>
      <c r="O29" s="144"/>
      <c r="P29" s="144"/>
      <c r="Q29">
        <f>-254145.11-12613.32</f>
        <v>-266758.43</v>
      </c>
      <c r="R29" s="139">
        <f t="shared" si="0"/>
        <v>0</v>
      </c>
    </row>
    <row r="30" spans="1:19" x14ac:dyDescent="0.25">
      <c r="A30" t="str">
        <f>'ALL GOVERNMENT FUNDS'!A25</f>
        <v>Due to Other Governments</v>
      </c>
      <c r="B30" s="48">
        <f>'ALL GOVERNMENT FUNDS'!B25</f>
        <v>62624.480000000003</v>
      </c>
      <c r="C30" s="48">
        <f>'ALL GOVERNMENT FUNDS'!C25</f>
        <v>0</v>
      </c>
      <c r="D30" s="48">
        <f>'ALL GOVERNMENT FUNDS'!D25</f>
        <v>0</v>
      </c>
      <c r="E30" s="48">
        <f>'ALL GOVERNMENT FUNDS'!E25</f>
        <v>0</v>
      </c>
      <c r="F30" s="48">
        <f>'ALL GOVERNMENT FUNDS'!F25</f>
        <v>0</v>
      </c>
      <c r="G30" s="48">
        <f>'ALL GOVERNMENT FUNDS'!G25</f>
        <v>62624.480000000003</v>
      </c>
      <c r="H30" s="144"/>
      <c r="I30" s="144"/>
      <c r="J30" s="144"/>
      <c r="K30" s="144"/>
      <c r="L30" s="144"/>
      <c r="M30" s="144"/>
      <c r="N30" s="144"/>
      <c r="O30" s="144"/>
      <c r="P30" s="144"/>
      <c r="Q30">
        <v>12613.32</v>
      </c>
      <c r="R30" s="139">
        <f t="shared" si="0"/>
        <v>75237.8</v>
      </c>
    </row>
    <row r="31" spans="1:19" x14ac:dyDescent="0.25">
      <c r="A31" t="s">
        <v>423</v>
      </c>
      <c r="B31" s="150">
        <v>0</v>
      </c>
      <c r="C31" s="150">
        <v>0</v>
      </c>
      <c r="D31" s="150">
        <v>0</v>
      </c>
      <c r="E31" s="150">
        <v>0</v>
      </c>
      <c r="F31" s="150">
        <v>0</v>
      </c>
      <c r="G31" s="150">
        <f>SUM(B31:F31)</f>
        <v>0</v>
      </c>
      <c r="H31" s="144"/>
      <c r="I31" s="144">
        <v>607066</v>
      </c>
      <c r="J31" s="144"/>
      <c r="K31" s="144"/>
      <c r="L31" s="144"/>
      <c r="M31" s="144"/>
      <c r="N31" s="144"/>
      <c r="O31" s="144"/>
      <c r="P31" s="144"/>
      <c r="R31" s="153">
        <f t="shared" si="0"/>
        <v>607066</v>
      </c>
    </row>
    <row r="32" spans="1:19" x14ac:dyDescent="0.25">
      <c r="A32" t="s">
        <v>424</v>
      </c>
      <c r="B32" s="150">
        <v>0</v>
      </c>
      <c r="C32" s="150">
        <v>0</v>
      </c>
      <c r="D32" s="150">
        <v>0</v>
      </c>
      <c r="E32" s="150">
        <v>0</v>
      </c>
      <c r="F32" s="150">
        <v>0</v>
      </c>
      <c r="G32" s="150">
        <f t="shared" ref="G32:G35" si="3">SUM(B32:F32)</f>
        <v>0</v>
      </c>
      <c r="H32" s="144"/>
      <c r="I32" s="144"/>
      <c r="J32" s="144"/>
      <c r="K32" s="144"/>
      <c r="L32" s="144"/>
      <c r="M32" s="144"/>
      <c r="N32" s="144"/>
      <c r="O32" s="144">
        <v>56894</v>
      </c>
      <c r="P32" s="144"/>
      <c r="R32" s="153">
        <f t="shared" si="0"/>
        <v>56894</v>
      </c>
    </row>
    <row r="33" spans="1:21" x14ac:dyDescent="0.25">
      <c r="A33" t="s">
        <v>425</v>
      </c>
      <c r="B33" s="150">
        <v>0</v>
      </c>
      <c r="C33" s="150">
        <v>0</v>
      </c>
      <c r="D33" s="150">
        <v>0</v>
      </c>
      <c r="E33" s="150">
        <v>0</v>
      </c>
      <c r="F33" s="150">
        <v>0</v>
      </c>
      <c r="G33" s="150">
        <f t="shared" si="3"/>
        <v>0</v>
      </c>
      <c r="H33" s="144"/>
      <c r="I33" s="144"/>
      <c r="J33" s="144"/>
      <c r="K33" s="144"/>
      <c r="L33" s="144"/>
      <c r="M33" s="144"/>
      <c r="N33" s="144"/>
      <c r="O33" s="144">
        <v>110781</v>
      </c>
      <c r="P33" s="144"/>
      <c r="R33" s="153">
        <f t="shared" si="0"/>
        <v>110781</v>
      </c>
    </row>
    <row r="34" spans="1:21" x14ac:dyDescent="0.25">
      <c r="A34" t="s">
        <v>426</v>
      </c>
      <c r="B34" s="150">
        <v>0</v>
      </c>
      <c r="C34" s="150">
        <v>0</v>
      </c>
      <c r="D34" s="150">
        <v>0</v>
      </c>
      <c r="E34" s="150">
        <v>0</v>
      </c>
      <c r="F34" s="150">
        <v>0</v>
      </c>
      <c r="G34" s="150">
        <f t="shared" si="3"/>
        <v>0</v>
      </c>
      <c r="H34" s="144"/>
      <c r="I34" s="144"/>
      <c r="J34" s="144"/>
      <c r="K34" s="144">
        <v>448133</v>
      </c>
      <c r="L34" s="144"/>
      <c r="M34" s="144"/>
      <c r="N34" s="144"/>
      <c r="O34" s="144"/>
      <c r="P34" s="144"/>
      <c r="R34" s="153">
        <f t="shared" si="0"/>
        <v>448133</v>
      </c>
    </row>
    <row r="35" spans="1:21" x14ac:dyDescent="0.25">
      <c r="A35" t="s">
        <v>427</v>
      </c>
      <c r="B35" s="150">
        <v>0</v>
      </c>
      <c r="C35" s="150">
        <v>0</v>
      </c>
      <c r="D35" s="150">
        <v>0</v>
      </c>
      <c r="E35" s="150">
        <v>0</v>
      </c>
      <c r="F35" s="150">
        <v>0</v>
      </c>
      <c r="G35" s="150">
        <f t="shared" si="3"/>
        <v>0</v>
      </c>
      <c r="H35" s="144"/>
      <c r="I35" s="144"/>
      <c r="J35" s="144"/>
      <c r="K35" s="144"/>
      <c r="L35" s="144"/>
      <c r="M35" s="144"/>
      <c r="N35" s="144"/>
      <c r="O35" s="144"/>
      <c r="P35" s="144"/>
      <c r="R35" s="139">
        <f t="shared" si="0"/>
        <v>0</v>
      </c>
    </row>
    <row r="36" spans="1:21" x14ac:dyDescent="0.25">
      <c r="A36" t="str">
        <f>'ALL GOVERNMENT FUNDS'!A26</f>
        <v>Deferred  Revenue</v>
      </c>
      <c r="B36" s="48">
        <f>'ALL GOVERNMENT FUNDS'!B26</f>
        <v>1665261.13</v>
      </c>
      <c r="C36" s="48">
        <f>'ALL GOVERNMENT FUNDS'!C26</f>
        <v>0</v>
      </c>
      <c r="D36" s="48">
        <f>'ALL GOVERNMENT FUNDS'!D26</f>
        <v>2083631.6300000004</v>
      </c>
      <c r="E36" s="48">
        <f>'ALL GOVERNMENT FUNDS'!E26</f>
        <v>115946.3</v>
      </c>
      <c r="F36" s="48">
        <f>'ALL GOVERNMENT FUNDS'!F26</f>
        <v>1162795.77</v>
      </c>
      <c r="G36" s="48">
        <f>'ALL GOVERNMENT FUNDS'!G26</f>
        <v>5027634.83</v>
      </c>
      <c r="H36" s="144"/>
      <c r="I36" s="144"/>
      <c r="J36" s="144">
        <v>-279463</v>
      </c>
      <c r="K36" s="144"/>
      <c r="L36" s="144">
        <v>-1287782</v>
      </c>
      <c r="M36" s="144"/>
      <c r="N36" s="144"/>
      <c r="O36" s="144"/>
      <c r="P36" s="144"/>
      <c r="R36" s="153">
        <f t="shared" si="0"/>
        <v>3460389.83</v>
      </c>
      <c r="S36" s="48">
        <f>SUM(R27:R36)</f>
        <v>8119642.3300000001</v>
      </c>
    </row>
    <row r="37" spans="1:21" x14ac:dyDescent="0.25">
      <c r="A37" s="77" t="str">
        <f>'ALL GOVERNMENT FUNDS'!A27</f>
        <v>Total Liabilities</v>
      </c>
      <c r="B37" s="138">
        <f>'ALL GOVERNMENT FUNDS'!B27</f>
        <v>2912799.67</v>
      </c>
      <c r="C37" s="138">
        <f>'ALL GOVERNMENT FUNDS'!C27</f>
        <v>0</v>
      </c>
      <c r="D37" s="138">
        <f>'ALL GOVERNMENT FUNDS'!D27</f>
        <v>3536322.0900000003</v>
      </c>
      <c r="E37" s="138">
        <f>'ALL GOVERNMENT FUNDS'!E27</f>
        <v>778227.25</v>
      </c>
      <c r="F37" s="138">
        <f>'ALL GOVERNMENT FUNDS'!F27</f>
        <v>1490809.43</v>
      </c>
      <c r="G37" s="138">
        <f>'ALL GOVERNMENT FUNDS'!G27</f>
        <v>8718158.4400000013</v>
      </c>
      <c r="H37" s="147">
        <f>SUM(H27:H36)</f>
        <v>0</v>
      </c>
      <c r="I37" s="147">
        <f t="shared" ref="I37:Q37" si="4">SUM(I27:I36)</f>
        <v>607066</v>
      </c>
      <c r="J37" s="147">
        <f t="shared" si="4"/>
        <v>-279463</v>
      </c>
      <c r="K37" s="147">
        <f t="shared" si="4"/>
        <v>448133</v>
      </c>
      <c r="L37" s="147">
        <f t="shared" si="4"/>
        <v>-1287782</v>
      </c>
      <c r="M37" s="147">
        <f t="shared" si="4"/>
        <v>0</v>
      </c>
      <c r="N37" s="147">
        <f t="shared" si="4"/>
        <v>0</v>
      </c>
      <c r="O37" s="147">
        <f t="shared" si="4"/>
        <v>167675</v>
      </c>
      <c r="P37" s="147">
        <f t="shared" si="4"/>
        <v>0</v>
      </c>
      <c r="Q37" s="147">
        <f t="shared" si="4"/>
        <v>-254145.11</v>
      </c>
      <c r="R37" s="154">
        <f t="shared" si="0"/>
        <v>8119642.330000001</v>
      </c>
    </row>
    <row r="38" spans="1:21" x14ac:dyDescent="0.25">
      <c r="R38" s="139"/>
    </row>
    <row r="39" spans="1:21" x14ac:dyDescent="0.25">
      <c r="A39" s="146" t="str">
        <f>'ALL GOVERNMENT FUNDS'!A29</f>
        <v>Deferred Inflows of Resources:</v>
      </c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39"/>
    </row>
    <row r="40" spans="1:21" x14ac:dyDescent="0.25">
      <c r="A40" t="str">
        <f>'ALL GOVERNMENT FUNDS'!A30</f>
        <v xml:space="preserve">      Unavailable revenue - taxes/fees</v>
      </c>
      <c r="B40" s="48">
        <f>'ALL GOVERNMENT FUNDS'!B30</f>
        <v>0</v>
      </c>
      <c r="C40" s="48">
        <f>'ALL GOVERNMENT FUNDS'!C30</f>
        <v>0</v>
      </c>
      <c r="D40" s="48">
        <f>'ALL GOVERNMENT FUNDS'!D30</f>
        <v>0</v>
      </c>
      <c r="E40" s="48">
        <f>'ALL GOVERNMENT FUNDS'!E30</f>
        <v>0</v>
      </c>
      <c r="F40" s="48">
        <f>'ALL GOVERNMENT FUNDS'!F30</f>
        <v>0</v>
      </c>
      <c r="G40" s="48">
        <f>'ALL GOVERNMENT FUNDS'!G30</f>
        <v>0</v>
      </c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39">
        <f t="shared" si="0"/>
        <v>0</v>
      </c>
    </row>
    <row r="41" spans="1:21" x14ac:dyDescent="0.25">
      <c r="A41" t="str">
        <f>'ALL GOVERNMENT FUNDS'!A31</f>
        <v xml:space="preserve">      Unavailable revenue - note</v>
      </c>
      <c r="B41" s="48">
        <f>'ALL GOVERNMENT FUNDS'!B31</f>
        <v>0</v>
      </c>
      <c r="C41" s="48">
        <f>'ALL GOVERNMENT FUNDS'!C31</f>
        <v>0</v>
      </c>
      <c r="D41" s="48">
        <f>'ALL GOVERNMENT FUNDS'!D31</f>
        <v>0</v>
      </c>
      <c r="E41" s="48">
        <f>'ALL GOVERNMENT FUNDS'!E31</f>
        <v>0</v>
      </c>
      <c r="F41" s="48">
        <f>'ALL GOVERNMENT FUNDS'!F31</f>
        <v>0</v>
      </c>
      <c r="G41" s="48">
        <f>'ALL GOVERNMENT FUNDS'!G31</f>
        <v>0</v>
      </c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39">
        <f t="shared" si="0"/>
        <v>0</v>
      </c>
    </row>
    <row r="42" spans="1:21" x14ac:dyDescent="0.25">
      <c r="A42" t="s">
        <v>434</v>
      </c>
      <c r="B42" s="150">
        <v>0</v>
      </c>
      <c r="C42" s="150">
        <v>0</v>
      </c>
      <c r="D42" s="150">
        <v>0</v>
      </c>
      <c r="E42" s="150">
        <v>0</v>
      </c>
      <c r="F42" s="150">
        <v>0</v>
      </c>
      <c r="G42" s="150">
        <f>SUM(B42:F42)</f>
        <v>0</v>
      </c>
      <c r="H42" s="144"/>
      <c r="I42" s="144"/>
      <c r="J42" s="144"/>
      <c r="K42" s="144"/>
      <c r="L42" s="144"/>
      <c r="M42" s="144"/>
      <c r="N42" s="144"/>
      <c r="O42" s="144"/>
      <c r="P42" s="144">
        <v>2980053</v>
      </c>
      <c r="Q42" s="144"/>
      <c r="R42" s="153">
        <f t="shared" si="0"/>
        <v>2980053</v>
      </c>
      <c r="S42" s="48">
        <f>SUM(R40:R42)</f>
        <v>2980053</v>
      </c>
    </row>
    <row r="43" spans="1:21" x14ac:dyDescent="0.25">
      <c r="A43" s="77" t="str">
        <f>'ALL GOVERNMENT FUNDS'!A32</f>
        <v>Total Deferred Inflows of Resources</v>
      </c>
      <c r="B43" s="48">
        <f>'ALL GOVERNMENT FUNDS'!B32</f>
        <v>0</v>
      </c>
      <c r="C43" s="48">
        <f>'ALL GOVERNMENT FUNDS'!C32</f>
        <v>0</v>
      </c>
      <c r="D43" s="48">
        <f>'ALL GOVERNMENT FUNDS'!D32</f>
        <v>0</v>
      </c>
      <c r="E43" s="48">
        <f>'ALL GOVERNMENT FUNDS'!E32</f>
        <v>0</v>
      </c>
      <c r="F43" s="48">
        <f>'ALL GOVERNMENT FUNDS'!F32</f>
        <v>0</v>
      </c>
      <c r="G43" s="48">
        <f>'ALL GOVERNMENT FUNDS'!G32</f>
        <v>0</v>
      </c>
      <c r="H43" s="147">
        <f>SUM(H40:H42)</f>
        <v>0</v>
      </c>
      <c r="I43" s="147">
        <f t="shared" ref="I43:Q43" si="5">SUM(I40:I42)</f>
        <v>0</v>
      </c>
      <c r="J43" s="147">
        <f t="shared" si="5"/>
        <v>0</v>
      </c>
      <c r="K43" s="147">
        <f t="shared" si="5"/>
        <v>0</v>
      </c>
      <c r="L43" s="147">
        <f t="shared" si="5"/>
        <v>0</v>
      </c>
      <c r="M43" s="147">
        <f t="shared" si="5"/>
        <v>0</v>
      </c>
      <c r="N43" s="147">
        <f t="shared" si="5"/>
        <v>0</v>
      </c>
      <c r="O43" s="147">
        <f t="shared" si="5"/>
        <v>0</v>
      </c>
      <c r="P43" s="147">
        <f t="shared" si="5"/>
        <v>2980053</v>
      </c>
      <c r="Q43" s="147">
        <f t="shared" si="5"/>
        <v>0</v>
      </c>
      <c r="R43" s="154">
        <f t="shared" si="0"/>
        <v>2980053</v>
      </c>
    </row>
    <row r="44" spans="1:21" x14ac:dyDescent="0.25">
      <c r="R44" s="139"/>
    </row>
    <row r="45" spans="1:21" x14ac:dyDescent="0.25">
      <c r="A45" s="146" t="str">
        <f>'ALL GOVERNMENT FUNDS'!A34</f>
        <v>Fund Balance</v>
      </c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39"/>
    </row>
    <row r="46" spans="1:21" x14ac:dyDescent="0.25">
      <c r="A46" t="str">
        <f>'ALL GOVERNMENT FUNDS'!A35</f>
        <v>Reserved:  Program</v>
      </c>
      <c r="B46" s="48">
        <f>'ALL GOVERNMENT FUNDS'!B35</f>
        <v>0</v>
      </c>
      <c r="C46" s="48">
        <f>'ALL GOVERNMENT FUNDS'!C35</f>
        <v>0</v>
      </c>
      <c r="D46" s="48">
        <f>'ALL GOVERNMENT FUNDS'!D35</f>
        <v>0</v>
      </c>
      <c r="E46" s="48">
        <f>'ALL GOVERNMENT FUNDS'!E35</f>
        <v>0</v>
      </c>
      <c r="F46" s="48">
        <f>'ALL GOVERNMENT FUNDS'!F35</f>
        <v>0</v>
      </c>
      <c r="G46" s="48">
        <f>'ALL GOVERNMENT FUNDS'!G35</f>
        <v>0</v>
      </c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39">
        <f t="shared" si="0"/>
        <v>0</v>
      </c>
      <c r="T46" s="77" t="s">
        <v>447</v>
      </c>
    </row>
    <row r="47" spans="1:21" x14ac:dyDescent="0.25">
      <c r="A47" t="str">
        <f>'ALL GOVERNMENT FUNDS'!A36</f>
        <v>Operating Reserve</v>
      </c>
      <c r="B47" s="48">
        <f>'ALL GOVERNMENT FUNDS'!B36</f>
        <v>1755505.56</v>
      </c>
      <c r="C47" s="48">
        <f>'ALL GOVERNMENT FUNDS'!C36</f>
        <v>0</v>
      </c>
      <c r="D47" s="48">
        <f>'ALL GOVERNMENT FUNDS'!D36</f>
        <v>0</v>
      </c>
      <c r="E47" s="48">
        <f>'ALL GOVERNMENT FUNDS'!E36</f>
        <v>0</v>
      </c>
      <c r="F47" s="48">
        <f>'ALL GOVERNMENT FUNDS'!F36</f>
        <v>0</v>
      </c>
      <c r="G47" s="48">
        <f>'ALL GOVERNMENT FUNDS'!G36</f>
        <v>1755505.56</v>
      </c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50">
        <f t="shared" si="0"/>
        <v>1755505.56</v>
      </c>
      <c r="T47" s="144">
        <v>2119678</v>
      </c>
      <c r="U47" t="s">
        <v>440</v>
      </c>
    </row>
    <row r="48" spans="1:21" x14ac:dyDescent="0.25">
      <c r="A48" t="str">
        <f>'ALL GOVERNMENT FUNDS'!A37</f>
        <v>Human Services</v>
      </c>
      <c r="B48" s="48">
        <f>'ALL GOVERNMENT FUNDS'!B37</f>
        <v>0</v>
      </c>
      <c r="C48" s="48">
        <f>'ALL GOVERNMENT FUNDS'!C37</f>
        <v>0</v>
      </c>
      <c r="D48" s="48">
        <f>'ALL GOVERNMENT FUNDS'!D37</f>
        <v>54822.6</v>
      </c>
      <c r="E48" s="48">
        <f>'ALL GOVERNMENT FUNDS'!E37</f>
        <v>0</v>
      </c>
      <c r="F48" s="48">
        <f>'ALL GOVERNMENT FUNDS'!F37</f>
        <v>40127.230000000003</v>
      </c>
      <c r="G48" s="48">
        <f>'ALL GOVERNMENT FUNDS'!G37</f>
        <v>94949.83</v>
      </c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50">
        <f t="shared" si="0"/>
        <v>94949.83</v>
      </c>
      <c r="T48" s="144">
        <v>22658849</v>
      </c>
      <c r="U48" t="s">
        <v>441</v>
      </c>
    </row>
    <row r="49" spans="1:21" x14ac:dyDescent="0.25">
      <c r="A49" t="str">
        <f>'ALL GOVERNMENT FUNDS'!A38</f>
        <v>Roads and bridges</v>
      </c>
      <c r="B49" s="48">
        <f>'ALL GOVERNMENT FUNDS'!B38</f>
        <v>0</v>
      </c>
      <c r="C49" s="48">
        <f>'ALL GOVERNMENT FUNDS'!C38</f>
        <v>0</v>
      </c>
      <c r="D49" s="48">
        <f>'ALL GOVERNMENT FUNDS'!D38</f>
        <v>0</v>
      </c>
      <c r="E49" s="48">
        <f>'ALL GOVERNMENT FUNDS'!E38</f>
        <v>0</v>
      </c>
      <c r="F49" s="48">
        <f>'ALL GOVERNMENT FUNDS'!F38</f>
        <v>1199595.3400000001</v>
      </c>
      <c r="G49" s="48">
        <f>'ALL GOVERNMENT FUNDS'!G38</f>
        <v>1199595.3400000001</v>
      </c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50">
        <f t="shared" si="0"/>
        <v>1199595.3400000001</v>
      </c>
      <c r="T49" s="144">
        <v>-56894</v>
      </c>
      <c r="U49" t="s">
        <v>442</v>
      </c>
    </row>
    <row r="50" spans="1:21" x14ac:dyDescent="0.25">
      <c r="A50" t="str">
        <f>'ALL GOVERNMENT FUNDS'!A39</f>
        <v>Affordable housing</v>
      </c>
      <c r="B50" s="48">
        <f>'ALL GOVERNMENT FUNDS'!B39</f>
        <v>0</v>
      </c>
      <c r="C50" s="48">
        <f>'ALL GOVERNMENT FUNDS'!C39</f>
        <v>0</v>
      </c>
      <c r="D50" s="48">
        <f>'ALL GOVERNMENT FUNDS'!D39</f>
        <v>0</v>
      </c>
      <c r="E50" s="48">
        <f>'ALL GOVERNMENT FUNDS'!E39</f>
        <v>0</v>
      </c>
      <c r="F50" s="48">
        <f>'ALL GOVERNMENT FUNDS'!F39</f>
        <v>21790.52</v>
      </c>
      <c r="G50" s="48">
        <f>'ALL GOVERNMENT FUNDS'!G39</f>
        <v>21790.52</v>
      </c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50">
        <f t="shared" si="0"/>
        <v>21790.52</v>
      </c>
      <c r="T50" s="144">
        <v>-110781</v>
      </c>
      <c r="U50" t="s">
        <v>443</v>
      </c>
    </row>
    <row r="51" spans="1:21" x14ac:dyDescent="0.25">
      <c r="A51" t="str">
        <f>'ALL GOVERNMENT FUNDS'!A40</f>
        <v>Act 13</v>
      </c>
      <c r="B51" s="48">
        <f>'ALL GOVERNMENT FUNDS'!B40</f>
        <v>0</v>
      </c>
      <c r="C51" s="48">
        <f>'ALL GOVERNMENT FUNDS'!C40</f>
        <v>0</v>
      </c>
      <c r="D51" s="48">
        <f>'ALL GOVERNMENT FUNDS'!D40</f>
        <v>0</v>
      </c>
      <c r="E51" s="48">
        <f>'ALL GOVERNMENT FUNDS'!E40</f>
        <v>0</v>
      </c>
      <c r="F51" s="48">
        <f>'ALL GOVERNMENT FUNDS'!F40</f>
        <v>292279.27</v>
      </c>
      <c r="G51" s="48">
        <f>'ALL GOVERNMENT FUNDS'!G40</f>
        <v>292279.27</v>
      </c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50">
        <f t="shared" si="0"/>
        <v>292279.27</v>
      </c>
      <c r="T51" s="144">
        <v>-448133</v>
      </c>
      <c r="U51" t="s">
        <v>444</v>
      </c>
    </row>
    <row r="52" spans="1:21" x14ac:dyDescent="0.25">
      <c r="A52" t="str">
        <f>'ALL GOVERNMENT FUNDS'!A41</f>
        <v>Constable server fees</v>
      </c>
      <c r="B52" s="48">
        <f>'ALL GOVERNMENT FUNDS'!B41</f>
        <v>0</v>
      </c>
      <c r="C52" s="48">
        <f>'ALL GOVERNMENT FUNDS'!C41</f>
        <v>0</v>
      </c>
      <c r="D52" s="48">
        <f>'ALL GOVERNMENT FUNDS'!D41</f>
        <v>0</v>
      </c>
      <c r="E52" s="48">
        <f>'ALL GOVERNMENT FUNDS'!E41</f>
        <v>0</v>
      </c>
      <c r="F52" s="48">
        <f>'ALL GOVERNMENT FUNDS'!F41</f>
        <v>289819.26</v>
      </c>
      <c r="G52" s="48">
        <f>'ALL GOVERNMENT FUNDS'!G41</f>
        <v>289819.26</v>
      </c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50">
        <f t="shared" si="0"/>
        <v>289819.26</v>
      </c>
      <c r="T52" s="155">
        <v>0</v>
      </c>
      <c r="U52" t="s">
        <v>445</v>
      </c>
    </row>
    <row r="53" spans="1:21" ht="15.75" thickBot="1" x14ac:dyDescent="0.3">
      <c r="A53" t="str">
        <f>'ALL GOVERNMENT FUNDS'!A42</f>
        <v>Offender identification</v>
      </c>
      <c r="B53" s="48">
        <f>'ALL GOVERNMENT FUNDS'!B42</f>
        <v>0</v>
      </c>
      <c r="C53" s="48">
        <f>'ALL GOVERNMENT FUNDS'!C42</f>
        <v>0</v>
      </c>
      <c r="D53" s="48">
        <f>'ALL GOVERNMENT FUNDS'!D42</f>
        <v>0</v>
      </c>
      <c r="E53" s="48">
        <f>'ALL GOVERNMENT FUNDS'!E42</f>
        <v>0</v>
      </c>
      <c r="F53" s="48">
        <f>'ALL GOVERNMENT FUNDS'!F42</f>
        <v>445107.69</v>
      </c>
      <c r="G53" s="48">
        <f>'ALL GOVERNMENT FUNDS'!G42</f>
        <v>445107.69</v>
      </c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50">
        <f t="shared" si="0"/>
        <v>445107.69</v>
      </c>
      <c r="T53" s="156">
        <f>SUM(T47:T52)</f>
        <v>24162719</v>
      </c>
    </row>
    <row r="54" spans="1:21" ht="15.75" thickTop="1" x14ac:dyDescent="0.25">
      <c r="A54" t="str">
        <f>'ALL GOVERNMENT FUNDS'!A43</f>
        <v>Records improvement/automation</v>
      </c>
      <c r="B54" s="48">
        <f>'ALL GOVERNMENT FUNDS'!B43</f>
        <v>0</v>
      </c>
      <c r="C54" s="48">
        <f>'ALL GOVERNMENT FUNDS'!C43</f>
        <v>0</v>
      </c>
      <c r="D54" s="48">
        <f>'ALL GOVERNMENT FUNDS'!D43</f>
        <v>0</v>
      </c>
      <c r="E54" s="48">
        <f>'ALL GOVERNMENT FUNDS'!E43</f>
        <v>0</v>
      </c>
      <c r="F54" s="48">
        <f>'ALL GOVERNMENT FUNDS'!F43</f>
        <v>56311.44</v>
      </c>
      <c r="G54" s="48">
        <f>'ALL GOVERNMENT FUNDS'!G43</f>
        <v>56311.44</v>
      </c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50">
        <f t="shared" si="0"/>
        <v>56311.44</v>
      </c>
    </row>
    <row r="55" spans="1:21" x14ac:dyDescent="0.25">
      <c r="A55" t="str">
        <f>'ALL GOVERNMENT FUNDS'!A44</f>
        <v>Sugar Valley Lodge</v>
      </c>
      <c r="B55" s="48">
        <f>'ALL GOVERNMENT FUNDS'!B44</f>
        <v>0</v>
      </c>
      <c r="C55" s="48">
        <f>'ALL GOVERNMENT FUNDS'!C44</f>
        <v>0</v>
      </c>
      <c r="D55" s="48">
        <f>'ALL GOVERNMENT FUNDS'!D44</f>
        <v>0</v>
      </c>
      <c r="E55" s="48">
        <f>'ALL GOVERNMENT FUNDS'!E44</f>
        <v>0</v>
      </c>
      <c r="F55" s="48">
        <f>'ALL GOVERNMENT FUNDS'!F44</f>
        <v>124697.59000000001</v>
      </c>
      <c r="G55" s="48">
        <f>'ALL GOVERNMENT FUNDS'!G44</f>
        <v>124697.59000000001</v>
      </c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50">
        <f t="shared" si="0"/>
        <v>124697.59000000001</v>
      </c>
    </row>
    <row r="56" spans="1:21" x14ac:dyDescent="0.25">
      <c r="A56" t="str">
        <f>'ALL GOVERNMENT FUNDS'!A45</f>
        <v>Domestic relations</v>
      </c>
      <c r="B56" s="48">
        <f>'ALL GOVERNMENT FUNDS'!B45</f>
        <v>0</v>
      </c>
      <c r="C56" s="48">
        <f>'ALL GOVERNMENT FUNDS'!C45</f>
        <v>0</v>
      </c>
      <c r="D56" s="48">
        <f>'ALL GOVERNMENT FUNDS'!D45</f>
        <v>0</v>
      </c>
      <c r="E56" s="48">
        <f>'ALL GOVERNMENT FUNDS'!E45</f>
        <v>0</v>
      </c>
      <c r="F56" s="48">
        <f>'ALL GOVERNMENT FUNDS'!F45</f>
        <v>753682.67</v>
      </c>
      <c r="G56" s="48">
        <f>'ALL GOVERNMENT FUNDS'!G45</f>
        <v>753682.67</v>
      </c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50">
        <f t="shared" si="0"/>
        <v>753682.67</v>
      </c>
    </row>
    <row r="57" spans="1:21" x14ac:dyDescent="0.25">
      <c r="A57" t="s">
        <v>448</v>
      </c>
      <c r="B57" s="150">
        <v>0</v>
      </c>
      <c r="C57" s="150">
        <v>0</v>
      </c>
      <c r="D57" s="150">
        <v>0</v>
      </c>
      <c r="E57" s="150">
        <v>0</v>
      </c>
      <c r="F57" s="150">
        <v>0</v>
      </c>
      <c r="G57" s="150">
        <f>SUM(B57:F57)</f>
        <v>0</v>
      </c>
      <c r="H57" s="144"/>
      <c r="I57" s="144"/>
      <c r="J57" s="144"/>
      <c r="K57" s="144"/>
      <c r="L57" s="144"/>
      <c r="M57" s="144"/>
      <c r="N57" s="144"/>
      <c r="O57" s="144"/>
      <c r="P57" s="144"/>
      <c r="Q57" s="158"/>
      <c r="R57" s="150">
        <f t="shared" si="0"/>
        <v>0</v>
      </c>
    </row>
    <row r="58" spans="1:21" x14ac:dyDescent="0.25">
      <c r="A58" t="str">
        <f>'ALL GOVERNMENT FUNDS'!A46</f>
        <v>Other purposes</v>
      </c>
      <c r="B58" s="48">
        <f>'ALL GOVERNMENT FUNDS'!B46</f>
        <v>0</v>
      </c>
      <c r="C58" s="48">
        <f>'ALL GOVERNMENT FUNDS'!C46</f>
        <v>0</v>
      </c>
      <c r="D58" s="48">
        <f>'ALL GOVERNMENT FUNDS'!D46</f>
        <v>0</v>
      </c>
      <c r="E58" s="48">
        <f>'ALL GOVERNMENT FUNDS'!E46</f>
        <v>0</v>
      </c>
      <c r="F58" s="160">
        <f>'ALL GOVERNMENT FUNDS'!F46</f>
        <v>132680.03</v>
      </c>
      <c r="G58" s="48">
        <f>'ALL GOVERNMENT FUNDS'!G46</f>
        <v>132680.03</v>
      </c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50">
        <f t="shared" si="0"/>
        <v>132680.03</v>
      </c>
      <c r="T58" s="77" t="s">
        <v>436</v>
      </c>
    </row>
    <row r="59" spans="1:21" x14ac:dyDescent="0.25">
      <c r="A59" t="str">
        <f>'ALL GOVERNMENT FUNDS'!A47</f>
        <v>Assigned:</v>
      </c>
      <c r="B59" s="48">
        <f>'ALL GOVERNMENT FUNDS'!B47</f>
        <v>0</v>
      </c>
      <c r="C59" s="48">
        <f>'ALL GOVERNMENT FUNDS'!C47</f>
        <v>0</v>
      </c>
      <c r="D59" s="48">
        <f>'ALL GOVERNMENT FUNDS'!D47</f>
        <v>0</v>
      </c>
      <c r="E59" s="48">
        <f>'ALL GOVERNMENT FUNDS'!E47</f>
        <v>0</v>
      </c>
      <c r="F59" s="48">
        <f>'ALL GOVERNMENT FUNDS'!F47</f>
        <v>0</v>
      </c>
      <c r="G59" s="48">
        <f>'ALL GOVERNMENT FUNDS'!G47</f>
        <v>0</v>
      </c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39">
        <f t="shared" si="0"/>
        <v>0</v>
      </c>
      <c r="T59" s="144">
        <f>R66</f>
        <v>36917162.369999997</v>
      </c>
      <c r="U59" t="s">
        <v>14</v>
      </c>
    </row>
    <row r="60" spans="1:21" x14ac:dyDescent="0.25">
      <c r="A60" t="str">
        <f>'ALL GOVERNMENT FUNDS'!A48</f>
        <v>Capital Projects</v>
      </c>
      <c r="B60" s="48">
        <f>'ALL GOVERNMENT FUNDS'!B48</f>
        <v>0</v>
      </c>
      <c r="C60" s="48">
        <f>'ALL GOVERNMENT FUNDS'!C48</f>
        <v>251080.45000000004</v>
      </c>
      <c r="D60" s="48">
        <f>'ALL GOVERNMENT FUNDS'!D48</f>
        <v>0</v>
      </c>
      <c r="E60" s="48">
        <f>'ALL GOVERNMENT FUNDS'!E48</f>
        <v>0</v>
      </c>
      <c r="F60" s="48">
        <f>'ALL GOVERNMENT FUNDS'!F48</f>
        <v>0</v>
      </c>
      <c r="G60" s="48">
        <f>'ALL GOVERNMENT FUNDS'!G48</f>
        <v>251080.45000000004</v>
      </c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50">
        <f t="shared" si="0"/>
        <v>251080.45000000004</v>
      </c>
      <c r="T60" s="144">
        <f>R61+R62+R63</f>
        <v>321621.85999999993</v>
      </c>
      <c r="U60" t="s">
        <v>437</v>
      </c>
    </row>
    <row r="61" spans="1:21" x14ac:dyDescent="0.25">
      <c r="A61" t="str">
        <f>'ALL GOVERNMENT FUNDS'!A49</f>
        <v>Substance Abuse</v>
      </c>
      <c r="B61" s="48">
        <f>'ALL GOVERNMENT FUNDS'!B49</f>
        <v>0</v>
      </c>
      <c r="C61" s="48">
        <f>'ALL GOVERNMENT FUNDS'!C49</f>
        <v>0</v>
      </c>
      <c r="D61" s="48">
        <f>'ALL GOVERNMENT FUNDS'!D49</f>
        <v>295567.98</v>
      </c>
      <c r="E61" s="48">
        <f>'ALL GOVERNMENT FUNDS'!E49</f>
        <v>0</v>
      </c>
      <c r="F61" s="48">
        <f>'ALL GOVERNMENT FUNDS'!F49</f>
        <v>0</v>
      </c>
      <c r="G61" s="48">
        <f>'ALL GOVERNMENT FUNDS'!G49</f>
        <v>295567.98</v>
      </c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39">
        <f t="shared" si="0"/>
        <v>295567.98</v>
      </c>
      <c r="T61" s="144">
        <v>-24162719</v>
      </c>
      <c r="U61" t="s">
        <v>438</v>
      </c>
    </row>
    <row r="62" spans="1:21" x14ac:dyDescent="0.25">
      <c r="A62" t="str">
        <f>'ALL GOVERNMENT FUNDS'!A50</f>
        <v>Airport Operations</v>
      </c>
      <c r="B62" s="48">
        <f>'ALL GOVERNMENT FUNDS'!B50</f>
        <v>0</v>
      </c>
      <c r="C62" s="48">
        <f>'ALL GOVERNMENT FUNDS'!C50</f>
        <v>0</v>
      </c>
      <c r="D62" s="48">
        <f>'ALL GOVERNMENT FUNDS'!D50</f>
        <v>0</v>
      </c>
      <c r="E62" s="48">
        <f>'ALL GOVERNMENT FUNDS'!E50</f>
        <v>0</v>
      </c>
      <c r="F62" s="48">
        <f>'ALL GOVERNMENT FUNDS'!F50</f>
        <v>8688.4699999999939</v>
      </c>
      <c r="G62" s="48">
        <f>'ALL GOVERNMENT FUNDS'!G50</f>
        <v>8688.4699999999939</v>
      </c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39">
        <f t="shared" si="0"/>
        <v>8688.4699999999939</v>
      </c>
      <c r="T62" s="144">
        <v>-1465477</v>
      </c>
      <c r="U62" t="s">
        <v>446</v>
      </c>
    </row>
    <row r="63" spans="1:21" x14ac:dyDescent="0.25">
      <c r="A63" t="str">
        <f>'ALL GOVERNMENT FUNDS'!A51</f>
        <v>Community Action</v>
      </c>
      <c r="B63" s="48">
        <f>'ALL GOVERNMENT FUNDS'!B51</f>
        <v>0</v>
      </c>
      <c r="C63" s="48">
        <f>'ALL GOVERNMENT FUNDS'!C51</f>
        <v>0</v>
      </c>
      <c r="D63" s="48">
        <f>'ALL GOVERNMENT FUNDS'!D51</f>
        <v>0</v>
      </c>
      <c r="E63" s="48">
        <f>'ALL GOVERNMENT FUNDS'!E51</f>
        <v>0</v>
      </c>
      <c r="F63" s="160">
        <f>'ALL GOVERNMENT FUNDS'!F51</f>
        <v>17365.41</v>
      </c>
      <c r="G63" s="48">
        <f>'ALL GOVERNMENT FUNDS'!G51</f>
        <v>17365.41</v>
      </c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39">
        <f t="shared" si="0"/>
        <v>17365.41</v>
      </c>
      <c r="T63" s="144"/>
      <c r="U63" t="s">
        <v>449</v>
      </c>
    </row>
    <row r="64" spans="1:21" x14ac:dyDescent="0.25">
      <c r="A64" t="s">
        <v>432</v>
      </c>
      <c r="B64" s="150">
        <v>0</v>
      </c>
      <c r="C64" s="150">
        <v>0</v>
      </c>
      <c r="D64" s="150">
        <v>0</v>
      </c>
      <c r="E64" s="150">
        <v>0</v>
      </c>
      <c r="F64" s="150">
        <v>0</v>
      </c>
      <c r="G64" s="150">
        <f>SUM(B64:F64)</f>
        <v>0</v>
      </c>
      <c r="H64" s="144"/>
      <c r="I64" s="144"/>
      <c r="J64" s="144"/>
      <c r="K64" s="144"/>
      <c r="L64" s="144"/>
      <c r="M64" s="144"/>
      <c r="N64" s="158"/>
      <c r="O64" s="144"/>
      <c r="P64" s="144"/>
      <c r="Q64" s="144"/>
      <c r="R64" s="150">
        <f t="shared" si="0"/>
        <v>0</v>
      </c>
      <c r="S64" s="161"/>
      <c r="T64" s="155">
        <f>S101</f>
        <v>-1627319.5000000109</v>
      </c>
      <c r="U64" t="s">
        <v>439</v>
      </c>
    </row>
    <row r="65" spans="1:21" ht="15.75" thickBot="1" x14ac:dyDescent="0.3">
      <c r="A65" t="str">
        <f>'ALL GOVERNMENT FUNDS'!A52</f>
        <v>Reserved:  Prepaids</v>
      </c>
      <c r="B65" s="48">
        <f>'ALL GOVERNMENT FUNDS'!B52</f>
        <v>0</v>
      </c>
      <c r="C65" s="48">
        <f>'ALL GOVERNMENT FUNDS'!C52</f>
        <v>0</v>
      </c>
      <c r="D65" s="48">
        <f>'ALL GOVERNMENT FUNDS'!D52</f>
        <v>0</v>
      </c>
      <c r="E65" s="48">
        <f>'ALL GOVERNMENT FUNDS'!E52</f>
        <v>0</v>
      </c>
      <c r="F65" s="48">
        <f>'ALL GOVERNMENT FUNDS'!F52</f>
        <v>0</v>
      </c>
      <c r="G65" s="48">
        <f>'ALL GOVERNMENT FUNDS'!G52</f>
        <v>0</v>
      </c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39">
        <f t="shared" si="0"/>
        <v>0</v>
      </c>
      <c r="T65" s="156">
        <f>SUM(T59:T64)</f>
        <v>9983268.7299999855</v>
      </c>
    </row>
    <row r="66" spans="1:21" ht="15.75" thickTop="1" x14ac:dyDescent="0.25">
      <c r="A66" t="str">
        <f>'ALL GOVERNMENT FUNDS'!A53</f>
        <v>Unreserved</v>
      </c>
      <c r="B66" s="48">
        <f>'ALL GOVERNMENT FUNDS'!B53</f>
        <v>5780862.1799999997</v>
      </c>
      <c r="C66" s="48">
        <f>'ALL GOVERNMENT FUNDS'!C53</f>
        <v>0</v>
      </c>
      <c r="D66" s="48">
        <f>'ALL GOVERNMENT FUNDS'!D53</f>
        <v>0</v>
      </c>
      <c r="E66" s="48">
        <f>'ALL GOVERNMENT FUNDS'!E53</f>
        <v>1.34</v>
      </c>
      <c r="F66" s="160">
        <f>'ALL GOVERNMENT FUNDS'!F53</f>
        <v>-0.14999999999997726</v>
      </c>
      <c r="G66" s="48">
        <f>'ALL GOVERNMENT FUNDS'!G53</f>
        <v>5780863.3699999992</v>
      </c>
      <c r="H66" s="144"/>
      <c r="I66" s="144">
        <v>-582303</v>
      </c>
      <c r="J66" s="144">
        <v>286505</v>
      </c>
      <c r="K66" s="144">
        <v>-1191266</v>
      </c>
      <c r="L66" s="144">
        <v>1293458</v>
      </c>
      <c r="M66" s="144"/>
      <c r="N66" s="158">
        <v>25580071</v>
      </c>
      <c r="O66" s="144">
        <v>-170115</v>
      </c>
      <c r="P66" s="144">
        <v>4929710</v>
      </c>
      <c r="Q66" s="158">
        <v>990239</v>
      </c>
      <c r="R66" s="139">
        <f t="shared" si="0"/>
        <v>36917162.369999997</v>
      </c>
      <c r="S66" s="48">
        <f>SUM(R46:R66)</f>
        <v>42656283.879999995</v>
      </c>
    </row>
    <row r="67" spans="1:21" x14ac:dyDescent="0.25">
      <c r="A67" s="77" t="str">
        <f>'ALL GOVERNMENT FUNDS'!A54</f>
        <v>Total Fund Balance</v>
      </c>
      <c r="B67" s="138">
        <f>'ALL GOVERNMENT FUNDS'!B54</f>
        <v>7536367.7400000002</v>
      </c>
      <c r="C67" s="138">
        <f>'ALL GOVERNMENT FUNDS'!C54</f>
        <v>251080.45000000004</v>
      </c>
      <c r="D67" s="138">
        <f>'ALL GOVERNMENT FUNDS'!D54</f>
        <v>350393.72000000003</v>
      </c>
      <c r="E67" s="138">
        <f>'ALL GOVERNMENT FUNDS'!E54</f>
        <v>1.34</v>
      </c>
      <c r="F67" s="138">
        <f>'ALL GOVERNMENT FUNDS'!F54</f>
        <v>3382144.77</v>
      </c>
      <c r="G67" s="138">
        <f>'ALL GOVERNMENT FUNDS'!G54</f>
        <v>11519988.02</v>
      </c>
      <c r="H67" s="147">
        <f t="shared" ref="H67:Q67" si="6">SUM(H46:H66)</f>
        <v>0</v>
      </c>
      <c r="I67" s="147">
        <f t="shared" si="6"/>
        <v>-582303</v>
      </c>
      <c r="J67" s="147">
        <f t="shared" si="6"/>
        <v>286505</v>
      </c>
      <c r="K67" s="147">
        <f t="shared" si="6"/>
        <v>-1191266</v>
      </c>
      <c r="L67" s="147">
        <f t="shared" si="6"/>
        <v>1293458</v>
      </c>
      <c r="M67" s="147">
        <f t="shared" si="6"/>
        <v>0</v>
      </c>
      <c r="N67" s="147">
        <f t="shared" si="6"/>
        <v>25580071</v>
      </c>
      <c r="O67" s="147">
        <f t="shared" si="6"/>
        <v>-170115</v>
      </c>
      <c r="P67" s="147">
        <f t="shared" si="6"/>
        <v>4929710</v>
      </c>
      <c r="Q67" s="147">
        <f t="shared" si="6"/>
        <v>990239</v>
      </c>
      <c r="R67" s="140">
        <f t="shared" si="0"/>
        <v>42656287.019999996</v>
      </c>
    </row>
    <row r="68" spans="1:21" x14ac:dyDescent="0.25"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62"/>
      <c r="S68" s="113"/>
      <c r="T68" s="163" t="s">
        <v>450</v>
      </c>
      <c r="U68" s="164"/>
    </row>
    <row r="69" spans="1:21" ht="15.75" thickBot="1" x14ac:dyDescent="0.3">
      <c r="A69" s="77" t="str">
        <f>'ALL GOVERNMENT FUNDS'!A56</f>
        <v>Total Liabilities &amp; Fund Balance</v>
      </c>
      <c r="B69" s="143">
        <f>'ALL GOVERNMENT FUNDS'!B56</f>
        <v>10449167.41</v>
      </c>
      <c r="C69" s="143">
        <f>'ALL GOVERNMENT FUNDS'!C56</f>
        <v>251080.45000000004</v>
      </c>
      <c r="D69" s="143">
        <f>'ALL GOVERNMENT FUNDS'!D56</f>
        <v>3886715.810000001</v>
      </c>
      <c r="E69" s="143">
        <f>'ALL GOVERNMENT FUNDS'!E56</f>
        <v>778228.59</v>
      </c>
      <c r="F69" s="143">
        <f>'ALL GOVERNMENT FUNDS'!F56</f>
        <v>4872954.2</v>
      </c>
      <c r="G69" s="143">
        <f>'ALL GOVERNMENT FUNDS'!G56</f>
        <v>20238146.460000001</v>
      </c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65">
        <f>R67+R37+R43</f>
        <v>53755982.349999994</v>
      </c>
      <c r="S69" s="166">
        <f>T64</f>
        <v>-1627319.5000000109</v>
      </c>
      <c r="T69" s="166">
        <f>R69+S69</f>
        <v>52128662.849999987</v>
      </c>
      <c r="U69" s="167"/>
    </row>
    <row r="70" spans="1:21" ht="15.75" thickTop="1" x14ac:dyDescent="0.25">
      <c r="B70" s="48" t="str">
        <f>'ALL GOVERNMENT FUNDS'!B57</f>
        <v>YES</v>
      </c>
      <c r="C70" s="48" t="str">
        <f>'ALL GOVERNMENT FUNDS'!C57</f>
        <v>YES</v>
      </c>
      <c r="D70" s="48" t="str">
        <f>'ALL GOVERNMENT FUNDS'!D57</f>
        <v>YES</v>
      </c>
      <c r="E70" s="48" t="str">
        <f>'ALL GOVERNMENT FUNDS'!E57</f>
        <v>YES</v>
      </c>
      <c r="F70" s="48" t="str">
        <f>'ALL GOVERNMENT FUNDS'!F57</f>
        <v>YES</v>
      </c>
      <c r="G70" s="48" t="str">
        <f>'ALL GOVERNMENT FUNDS'!G57</f>
        <v>YES</v>
      </c>
      <c r="R70" s="139"/>
    </row>
    <row r="71" spans="1:21" x14ac:dyDescent="0.25">
      <c r="A71" s="146" t="str">
        <f>'ALL GOVERNMENT FUNDS'!A58</f>
        <v>Revenue</v>
      </c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39"/>
    </row>
    <row r="72" spans="1:21" x14ac:dyDescent="0.25">
      <c r="A72" t="str">
        <f>'ALL GOVERNMENT FUNDS'!A59</f>
        <v xml:space="preserve">      Taxes</v>
      </c>
      <c r="B72" s="48">
        <f>'ALL GOVERNMENT FUNDS'!B59</f>
        <v>11774725.77</v>
      </c>
      <c r="C72" s="48">
        <f>'ALL GOVERNMENT FUNDS'!C59</f>
        <v>0</v>
      </c>
      <c r="D72" s="48">
        <f>'ALL GOVERNMENT FUNDS'!D59</f>
        <v>0</v>
      </c>
      <c r="E72" s="48">
        <f>'ALL GOVERNMENT FUNDS'!E59</f>
        <v>0</v>
      </c>
      <c r="F72" s="48">
        <f>'ALL GOVERNMENT FUNDS'!F59</f>
        <v>0</v>
      </c>
      <c r="G72" s="48">
        <f>'ALL GOVERNMENT FUNDS'!G59</f>
        <v>11774725.77</v>
      </c>
      <c r="H72" s="144"/>
      <c r="I72" s="159"/>
      <c r="J72" s="159"/>
      <c r="K72" s="159"/>
      <c r="L72" s="159">
        <v>-5676</v>
      </c>
      <c r="M72" s="159"/>
      <c r="N72" s="159"/>
      <c r="O72" s="159"/>
      <c r="P72" s="159"/>
      <c r="Q72" s="144"/>
      <c r="R72" s="153">
        <f t="shared" si="0"/>
        <v>11769049.77</v>
      </c>
    </row>
    <row r="73" spans="1:21" x14ac:dyDescent="0.25">
      <c r="A73" t="str">
        <f>'ALL GOVERNMENT FUNDS'!A60</f>
        <v xml:space="preserve">      Licenses</v>
      </c>
      <c r="B73" s="48">
        <f>'ALL GOVERNMENT FUNDS'!B60</f>
        <v>36683.5</v>
      </c>
      <c r="C73" s="48">
        <f>'ALL GOVERNMENT FUNDS'!C60</f>
        <v>0</v>
      </c>
      <c r="D73" s="48">
        <f>'ALL GOVERNMENT FUNDS'!D60</f>
        <v>0</v>
      </c>
      <c r="E73" s="48">
        <f>'ALL GOVERNMENT FUNDS'!E60</f>
        <v>0</v>
      </c>
      <c r="F73" s="48">
        <f>'ALL GOVERNMENT FUNDS'!F60</f>
        <v>0</v>
      </c>
      <c r="G73" s="48">
        <f>'ALL GOVERNMENT FUNDS'!G60</f>
        <v>36683.5</v>
      </c>
      <c r="H73" s="144"/>
      <c r="I73" s="159"/>
      <c r="J73" s="159"/>
      <c r="K73" s="159"/>
      <c r="L73" s="159"/>
      <c r="M73" s="159"/>
      <c r="N73" s="159"/>
      <c r="O73" s="159"/>
      <c r="P73" s="159"/>
      <c r="Q73" s="144"/>
      <c r="R73" s="139">
        <f t="shared" si="0"/>
        <v>36683.5</v>
      </c>
    </row>
    <row r="74" spans="1:21" x14ac:dyDescent="0.25">
      <c r="A74" t="str">
        <f>'ALL GOVERNMENT FUNDS'!A61</f>
        <v>Intergovermental</v>
      </c>
      <c r="B74" s="48">
        <f>'ALL GOVERNMENT FUNDS'!B61</f>
        <v>2464912.4700000002</v>
      </c>
      <c r="C74" s="48">
        <f>'ALL GOVERNMENT FUNDS'!C61</f>
        <v>0</v>
      </c>
      <c r="D74" s="48">
        <f>'ALL GOVERNMENT FUNDS'!D61</f>
        <v>16690296.030000001</v>
      </c>
      <c r="E74" s="48">
        <f>'ALL GOVERNMENT FUNDS'!E61</f>
        <v>8816839.7800000012</v>
      </c>
      <c r="F74" s="48">
        <f>'ALL GOVERNMENT FUNDS'!F61</f>
        <v>5612470.2500000009</v>
      </c>
      <c r="G74" s="48">
        <f>'ALL GOVERNMENT FUNDS'!G61</f>
        <v>33584518.530000001</v>
      </c>
      <c r="H74" s="144"/>
      <c r="I74" s="159"/>
      <c r="J74" s="159"/>
      <c r="K74" s="159"/>
      <c r="L74" s="159"/>
      <c r="M74" s="159">
        <v>177061</v>
      </c>
      <c r="N74" s="159"/>
      <c r="O74" s="159"/>
      <c r="P74" s="159"/>
      <c r="Q74" s="144"/>
      <c r="R74" s="139">
        <f t="shared" si="0"/>
        <v>33761579.530000001</v>
      </c>
    </row>
    <row r="75" spans="1:21" x14ac:dyDescent="0.25">
      <c r="A75" t="str">
        <f>'ALL GOVERNMENT FUNDS'!A62</f>
        <v>Charges for Services</v>
      </c>
      <c r="B75" s="48">
        <f>'ALL GOVERNMENT FUNDS'!B62</f>
        <v>2316964.63</v>
      </c>
      <c r="C75" s="48">
        <f>'ALL GOVERNMENT FUNDS'!C62</f>
        <v>0</v>
      </c>
      <c r="D75" s="48">
        <f>'ALL GOVERNMENT FUNDS'!D62</f>
        <v>120237.89</v>
      </c>
      <c r="E75" s="48">
        <f>'ALL GOVERNMENT FUNDS'!E62</f>
        <v>24449.930000000051</v>
      </c>
      <c r="F75" s="48">
        <f>'ALL GOVERNMENT FUNDS'!F62</f>
        <v>498271.00000000006</v>
      </c>
      <c r="G75" s="48">
        <f>'ALL GOVERNMENT FUNDS'!G62</f>
        <v>2959923.45</v>
      </c>
      <c r="H75" s="144"/>
      <c r="I75" s="159"/>
      <c r="J75" s="159"/>
      <c r="K75" s="159"/>
      <c r="L75" s="159"/>
      <c r="M75" s="159"/>
      <c r="N75" s="159"/>
      <c r="O75" s="159"/>
      <c r="P75" s="159"/>
      <c r="Q75" s="144"/>
      <c r="R75" s="139">
        <f t="shared" si="0"/>
        <v>2959923.45</v>
      </c>
    </row>
    <row r="76" spans="1:21" x14ac:dyDescent="0.25">
      <c r="A76" t="str">
        <f>'ALL GOVERNMENT FUNDS'!A63</f>
        <v>Fines and Forfeits</v>
      </c>
      <c r="B76" s="48">
        <f>'ALL GOVERNMENT FUNDS'!B63</f>
        <v>130448.96000000001</v>
      </c>
      <c r="C76" s="48">
        <f>'ALL GOVERNMENT FUNDS'!C63</f>
        <v>0</v>
      </c>
      <c r="D76" s="48">
        <f>'ALL GOVERNMENT FUNDS'!D63</f>
        <v>215287.80000000008</v>
      </c>
      <c r="E76" s="48">
        <f>'ALL GOVERNMENT FUNDS'!E63</f>
        <v>0</v>
      </c>
      <c r="F76" s="48">
        <f>'ALL GOVERNMENT FUNDS'!F63</f>
        <v>55010.97</v>
      </c>
      <c r="G76" s="48">
        <f>'ALL GOVERNMENT FUNDS'!G63</f>
        <v>400747.7300000001</v>
      </c>
      <c r="H76" s="144"/>
      <c r="I76" s="159"/>
      <c r="J76" s="159">
        <v>-7042</v>
      </c>
      <c r="K76" s="159"/>
      <c r="L76" s="159"/>
      <c r="M76" s="159"/>
      <c r="N76" s="159"/>
      <c r="O76" s="159"/>
      <c r="P76" s="159"/>
      <c r="Q76" s="144"/>
      <c r="R76" s="139">
        <f t="shared" si="0"/>
        <v>393705.7300000001</v>
      </c>
    </row>
    <row r="77" spans="1:21" x14ac:dyDescent="0.25">
      <c r="A77" t="str">
        <f>'ALL GOVERNMENT FUNDS'!A64</f>
        <v>Interest</v>
      </c>
      <c r="B77" s="48">
        <f>'ALL GOVERNMENT FUNDS'!B64</f>
        <v>22549.869999999995</v>
      </c>
      <c r="C77" s="48">
        <f>'ALL GOVERNMENT FUNDS'!C64</f>
        <v>631.82999999999993</v>
      </c>
      <c r="D77" s="48">
        <f>'ALL GOVERNMENT FUNDS'!D64</f>
        <v>5509.26</v>
      </c>
      <c r="E77" s="48">
        <f>'ALL GOVERNMENT FUNDS'!E64</f>
        <v>466.04</v>
      </c>
      <c r="F77" s="48">
        <f>'ALL GOVERNMENT FUNDS'!F64</f>
        <v>27320.660000000003</v>
      </c>
      <c r="G77" s="48">
        <f>'ALL GOVERNMENT FUNDS'!G64</f>
        <v>56477.66</v>
      </c>
      <c r="H77" s="144"/>
      <c r="I77" s="159"/>
      <c r="J77" s="159"/>
      <c r="K77" s="159"/>
      <c r="L77" s="159"/>
      <c r="M77" s="159"/>
      <c r="N77" s="159"/>
      <c r="O77" s="159"/>
      <c r="P77" s="159"/>
      <c r="Q77" s="144"/>
      <c r="R77" s="153">
        <f t="shared" si="0"/>
        <v>56477.66</v>
      </c>
    </row>
    <row r="78" spans="1:21" x14ac:dyDescent="0.25">
      <c r="A78" t="str">
        <f>'ALL GOVERNMENT FUNDS'!A65</f>
        <v>Lease Revenue</v>
      </c>
      <c r="B78" s="48">
        <f>'ALL GOVERNMENT FUNDS'!B65</f>
        <v>0</v>
      </c>
      <c r="C78" s="48">
        <f>'ALL GOVERNMENT FUNDS'!C65</f>
        <v>0</v>
      </c>
      <c r="D78" s="48">
        <f>'ALL GOVERNMENT FUNDS'!D65</f>
        <v>0</v>
      </c>
      <c r="E78" s="48">
        <f>'ALL GOVERNMENT FUNDS'!E65</f>
        <v>0</v>
      </c>
      <c r="F78" s="48">
        <f>'ALL GOVERNMENT FUNDS'!F65</f>
        <v>0</v>
      </c>
      <c r="G78" s="48">
        <f>'ALL GOVERNMENT FUNDS'!G65</f>
        <v>0</v>
      </c>
      <c r="H78" s="144"/>
      <c r="I78" s="159"/>
      <c r="J78" s="159"/>
      <c r="K78" s="159"/>
      <c r="L78" s="159"/>
      <c r="M78" s="159"/>
      <c r="N78" s="159"/>
      <c r="O78" s="159"/>
      <c r="P78" s="159"/>
      <c r="Q78" s="144"/>
      <c r="R78" s="139">
        <f t="shared" si="0"/>
        <v>0</v>
      </c>
    </row>
    <row r="79" spans="1:21" x14ac:dyDescent="0.25">
      <c r="A79" t="str">
        <f>'ALL GOVERNMENT FUNDS'!A66</f>
        <v>Other</v>
      </c>
      <c r="B79" s="48">
        <f>'ALL GOVERNMENT FUNDS'!B66</f>
        <v>352595.76</v>
      </c>
      <c r="C79" s="48">
        <f>'ALL GOVERNMENT FUNDS'!C66</f>
        <v>0</v>
      </c>
      <c r="D79" s="48">
        <f>'ALL GOVERNMENT FUNDS'!D66</f>
        <v>214519.75000000003</v>
      </c>
      <c r="E79" s="48">
        <f>'ALL GOVERNMENT FUNDS'!E66</f>
        <v>0</v>
      </c>
      <c r="F79" s="48">
        <f>'ALL GOVERNMENT FUNDS'!F66</f>
        <v>21036.32</v>
      </c>
      <c r="G79" s="48">
        <f>'ALL GOVERNMENT FUNDS'!G66</f>
        <v>588151.82999999996</v>
      </c>
      <c r="H79" s="144"/>
      <c r="I79" s="159"/>
      <c r="J79" s="159"/>
      <c r="K79" s="159"/>
      <c r="L79" s="159"/>
      <c r="M79" s="159">
        <v>-177061</v>
      </c>
      <c r="N79" s="159"/>
      <c r="O79" s="159">
        <v>11040</v>
      </c>
      <c r="P79" s="159"/>
      <c r="Q79" s="144"/>
      <c r="R79" s="139">
        <f t="shared" si="0"/>
        <v>422130.82999999996</v>
      </c>
      <c r="S79" s="48">
        <f>SUM(R72:R79)</f>
        <v>49399550.469999991</v>
      </c>
    </row>
    <row r="80" spans="1:21" x14ac:dyDescent="0.25">
      <c r="A80" s="77" t="str">
        <f>'ALL GOVERNMENT FUNDS'!A67</f>
        <v>Total Revenues</v>
      </c>
      <c r="B80" s="138">
        <f>'ALL GOVERNMENT FUNDS'!B67</f>
        <v>17098880.960000001</v>
      </c>
      <c r="C80" s="138">
        <f>'ALL GOVERNMENT FUNDS'!C67</f>
        <v>631.82999999999993</v>
      </c>
      <c r="D80" s="138">
        <f>'ALL GOVERNMENT FUNDS'!D67</f>
        <v>17245850.73</v>
      </c>
      <c r="E80" s="138">
        <f>'ALL GOVERNMENT FUNDS'!E67</f>
        <v>8841755.75</v>
      </c>
      <c r="F80" s="138">
        <f>'ALL GOVERNMENT FUNDS'!F67</f>
        <v>6214109.2000000011</v>
      </c>
      <c r="G80" s="138">
        <f>'ALL GOVERNMENT FUNDS'!G67</f>
        <v>49401228.469999999</v>
      </c>
      <c r="H80" s="145">
        <f>SUM(H72:H79)</f>
        <v>0</v>
      </c>
      <c r="I80" s="145">
        <f t="shared" ref="I80:Q80" si="7">SUM(I72:I79)</f>
        <v>0</v>
      </c>
      <c r="J80" s="145">
        <f t="shared" si="7"/>
        <v>-7042</v>
      </c>
      <c r="K80" s="145">
        <f t="shared" si="7"/>
        <v>0</v>
      </c>
      <c r="L80" s="145">
        <f t="shared" si="7"/>
        <v>-5676</v>
      </c>
      <c r="M80" s="145">
        <f t="shared" si="7"/>
        <v>0</v>
      </c>
      <c r="N80" s="145">
        <f t="shared" si="7"/>
        <v>0</v>
      </c>
      <c r="O80" s="145">
        <f t="shared" si="7"/>
        <v>11040</v>
      </c>
      <c r="P80" s="145">
        <f t="shared" si="7"/>
        <v>0</v>
      </c>
      <c r="Q80" s="145">
        <f t="shared" si="7"/>
        <v>0</v>
      </c>
      <c r="R80" s="154">
        <f t="shared" si="0"/>
        <v>49399550.469999999</v>
      </c>
      <c r="S80" s="48"/>
      <c r="T80" s="6"/>
    </row>
    <row r="81" spans="1:20" x14ac:dyDescent="0.25">
      <c r="R81" s="139"/>
    </row>
    <row r="82" spans="1:20" x14ac:dyDescent="0.25">
      <c r="A82" s="146" t="str">
        <f>'ALL GOVERNMENT FUNDS'!A69</f>
        <v>Expenditures</v>
      </c>
      <c r="R82" s="139"/>
    </row>
    <row r="83" spans="1:20" x14ac:dyDescent="0.25">
      <c r="A83" t="str">
        <f>'ALL GOVERNMENT FUNDS'!A70</f>
        <v>General gvt - administration</v>
      </c>
      <c r="B83" s="48">
        <f>'ALL GOVERNMENT FUNDS'!B70</f>
        <v>7098258.6400000015</v>
      </c>
      <c r="C83" s="48">
        <f>'ALL GOVERNMENT FUNDS'!C70</f>
        <v>9100</v>
      </c>
      <c r="D83" s="48">
        <f>'ALL GOVERNMENT FUNDS'!D70</f>
        <v>0</v>
      </c>
      <c r="E83" s="48">
        <f>'ALL GOVERNMENT FUNDS'!E70</f>
        <v>0</v>
      </c>
      <c r="F83" s="48">
        <f>'ALL GOVERNMENT FUNDS'!F70</f>
        <v>4873.38</v>
      </c>
      <c r="G83" s="48">
        <f>'ALL GOVERNMENT FUNDS'!G70</f>
        <v>7112232.0200000014</v>
      </c>
      <c r="H83" s="144"/>
      <c r="I83" s="159">
        <v>4210</v>
      </c>
      <c r="J83" s="159"/>
      <c r="K83" s="159">
        <v>-33133</v>
      </c>
      <c r="L83" s="159"/>
      <c r="M83" s="159"/>
      <c r="N83" s="159">
        <f>-142212+339182+92021+200</f>
        <v>289191</v>
      </c>
      <c r="O83" s="159"/>
      <c r="P83" s="159">
        <v>273718</v>
      </c>
      <c r="Q83" s="144"/>
      <c r="R83" s="139">
        <f t="shared" si="0"/>
        <v>7646218.0200000014</v>
      </c>
    </row>
    <row r="84" spans="1:20" x14ac:dyDescent="0.25">
      <c r="A84" t="str">
        <f>'ALL GOVERNMENT FUNDS'!A71</f>
        <v>General gvt - judicial</v>
      </c>
      <c r="B84" s="48">
        <f>'ALL GOVERNMENT FUNDS'!B71</f>
        <v>3420921.3100000005</v>
      </c>
      <c r="C84" s="48">
        <f>'ALL GOVERNMENT FUNDS'!C71</f>
        <v>0</v>
      </c>
      <c r="D84" s="48">
        <f>'ALL GOVERNMENT FUNDS'!D71</f>
        <v>0</v>
      </c>
      <c r="E84" s="48">
        <f>'ALL GOVERNMENT FUNDS'!E71</f>
        <v>0</v>
      </c>
      <c r="F84" s="48">
        <f>'ALL GOVERNMENT FUNDS'!F71</f>
        <v>594695.96</v>
      </c>
      <c r="G84" s="48">
        <f>'ALL GOVERNMENT FUNDS'!G71</f>
        <v>4015617.2700000005</v>
      </c>
      <c r="H84" s="144"/>
      <c r="I84" s="159">
        <v>4457</v>
      </c>
      <c r="J84" s="159"/>
      <c r="K84" s="159"/>
      <c r="L84" s="159"/>
      <c r="M84" s="159"/>
      <c r="N84" s="159">
        <f>-105361+76334</f>
        <v>-29027</v>
      </c>
      <c r="O84" s="159"/>
      <c r="P84" s="159"/>
      <c r="Q84" s="144"/>
      <c r="R84" s="139">
        <f t="shared" si="0"/>
        <v>3991047.2700000005</v>
      </c>
    </row>
    <row r="85" spans="1:20" x14ac:dyDescent="0.25">
      <c r="A85" t="str">
        <f>'ALL GOVERNMENT FUNDS'!A72</f>
        <v>Public safety</v>
      </c>
      <c r="B85" s="48">
        <f>'ALL GOVERNMENT FUNDS'!B72</f>
        <v>4859726.79</v>
      </c>
      <c r="C85" s="48">
        <f>'ALL GOVERNMENT FUNDS'!C72</f>
        <v>0</v>
      </c>
      <c r="D85" s="48">
        <f>'ALL GOVERNMENT FUNDS'!D72</f>
        <v>0</v>
      </c>
      <c r="E85" s="48">
        <f>'ALL GOVERNMENT FUNDS'!E72</f>
        <v>0</v>
      </c>
      <c r="F85" s="48">
        <f>'ALL GOVERNMENT FUNDS'!F72</f>
        <v>1851076.3399999999</v>
      </c>
      <c r="G85" s="48">
        <f>'ALL GOVERNMENT FUNDS'!G72</f>
        <v>6710803.1299999999</v>
      </c>
      <c r="H85" s="144"/>
      <c r="I85" s="159">
        <v>4953</v>
      </c>
      <c r="J85" s="159"/>
      <c r="K85" s="159"/>
      <c r="L85" s="159"/>
      <c r="M85" s="159"/>
      <c r="N85" s="159">
        <f>-37884+393992</f>
        <v>356108</v>
      </c>
      <c r="O85" s="159"/>
      <c r="P85" s="159">
        <v>247536</v>
      </c>
      <c r="Q85" s="144"/>
      <c r="R85" s="157">
        <f t="shared" si="0"/>
        <v>7319400.1299999999</v>
      </c>
    </row>
    <row r="86" spans="1:20" x14ac:dyDescent="0.25">
      <c r="A86" t="str">
        <f>'ALL GOVERNMENT FUNDS'!A73</f>
        <v>Public works and enterprises</v>
      </c>
      <c r="B86" s="48">
        <f>'ALL GOVERNMENT FUNDS'!B73</f>
        <v>527577.1</v>
      </c>
      <c r="C86" s="48">
        <f>'ALL GOVERNMENT FUNDS'!C73</f>
        <v>0</v>
      </c>
      <c r="D86" s="48">
        <f>'ALL GOVERNMENT FUNDS'!D73</f>
        <v>0</v>
      </c>
      <c r="E86" s="48">
        <f>'ALL GOVERNMENT FUNDS'!E73</f>
        <v>0</v>
      </c>
      <c r="F86" s="48">
        <f>'ALL GOVERNMENT FUNDS'!F73</f>
        <v>1303670.67</v>
      </c>
      <c r="G86" s="48">
        <f>'ALL GOVERNMENT FUNDS'!G73</f>
        <v>1831247.77</v>
      </c>
      <c r="H86" s="144"/>
      <c r="I86" s="159">
        <v>495</v>
      </c>
      <c r="J86" s="159"/>
      <c r="K86" s="159"/>
      <c r="L86" s="159"/>
      <c r="M86" s="159"/>
      <c r="N86" s="159">
        <f>-28190+633393</f>
        <v>605203</v>
      </c>
      <c r="O86" s="159"/>
      <c r="P86" s="159"/>
      <c r="Q86" s="144"/>
      <c r="R86" s="157">
        <f t="shared" si="0"/>
        <v>2436945.77</v>
      </c>
    </row>
    <row r="87" spans="1:20" x14ac:dyDescent="0.25">
      <c r="A87" t="str">
        <f>'ALL GOVERNMENT FUNDS'!A74</f>
        <v>Human services</v>
      </c>
      <c r="B87" s="48">
        <f>'ALL GOVERNMENT FUNDS'!B74</f>
        <v>125330.94</v>
      </c>
      <c r="C87" s="48">
        <f>'ALL GOVERNMENT FUNDS'!C74</f>
        <v>0</v>
      </c>
      <c r="D87" s="48">
        <f>'ALL GOVERNMENT FUNDS'!D74</f>
        <v>17603492.559999999</v>
      </c>
      <c r="E87" s="48">
        <f>'ALL GOVERNMENT FUNDS'!E74</f>
        <v>8691756.1300000008</v>
      </c>
      <c r="F87" s="48">
        <f>'ALL GOVERNMENT FUNDS'!F74</f>
        <v>2104925.0500000003</v>
      </c>
      <c r="G87" s="48">
        <f>'ALL GOVERNMENT FUNDS'!G74</f>
        <v>28525504.680000003</v>
      </c>
      <c r="H87" s="144"/>
      <c r="I87" s="159">
        <v>10400</v>
      </c>
      <c r="J87" s="159"/>
      <c r="K87" s="159"/>
      <c r="L87" s="159"/>
      <c r="M87" s="159"/>
      <c r="N87" s="159">
        <f>-698375+318351+12291.96</f>
        <v>-367732.04</v>
      </c>
      <c r="O87" s="159"/>
      <c r="P87" s="159">
        <v>6809</v>
      </c>
      <c r="Q87" s="144"/>
      <c r="R87" s="153">
        <f t="shared" si="0"/>
        <v>28174981.640000004</v>
      </c>
    </row>
    <row r="88" spans="1:20" x14ac:dyDescent="0.25">
      <c r="A88" t="str">
        <f>'ALL GOVERNMENT FUNDS'!A75</f>
        <v>Conservation and development</v>
      </c>
      <c r="B88" s="48">
        <f>'ALL GOVERNMENT FUNDS'!B75</f>
        <v>660670.42999999993</v>
      </c>
      <c r="C88" s="48">
        <f>'ALL GOVERNMENT FUNDS'!C75</f>
        <v>0</v>
      </c>
      <c r="D88" s="48">
        <f>'ALL GOVERNMENT FUNDS'!D75</f>
        <v>0</v>
      </c>
      <c r="E88" s="48">
        <f>'ALL GOVERNMENT FUNDS'!E75</f>
        <v>0</v>
      </c>
      <c r="F88" s="48">
        <f>'ALL GOVERNMENT FUNDS'!F75</f>
        <v>430737.36</v>
      </c>
      <c r="G88" s="48">
        <f>'ALL GOVERNMENT FUNDS'!G75</f>
        <v>1091407.79</v>
      </c>
      <c r="H88" s="144"/>
      <c r="I88" s="159"/>
      <c r="J88" s="159"/>
      <c r="K88" s="159"/>
      <c r="L88" s="159"/>
      <c r="M88" s="159"/>
      <c r="N88" s="159"/>
      <c r="O88" s="159"/>
      <c r="P88" s="159">
        <v>72</v>
      </c>
      <c r="Q88" s="144"/>
      <c r="R88" s="153">
        <f t="shared" si="0"/>
        <v>1091479.79</v>
      </c>
    </row>
    <row r="89" spans="1:20" x14ac:dyDescent="0.25">
      <c r="A89" t="str">
        <f>'ALL GOVERNMENT FUNDS'!A76</f>
        <v>Culture &amp; Recreation</v>
      </c>
      <c r="B89" s="48">
        <f>'ALL GOVERNMENT FUNDS'!B76</f>
        <v>394165.19</v>
      </c>
      <c r="C89" s="48">
        <f>'ALL GOVERNMENT FUNDS'!C76</f>
        <v>0</v>
      </c>
      <c r="D89" s="48">
        <f>'ALL GOVERNMENT FUNDS'!D76</f>
        <v>0</v>
      </c>
      <c r="E89" s="48">
        <f>'ALL GOVERNMENT FUNDS'!E76</f>
        <v>0</v>
      </c>
      <c r="F89" s="48">
        <f>'ALL GOVERNMENT FUNDS'!F76</f>
        <v>0</v>
      </c>
      <c r="G89" s="48">
        <f>'ALL GOVERNMENT FUNDS'!G76</f>
        <v>394165.19</v>
      </c>
      <c r="H89" s="144"/>
      <c r="I89" s="159">
        <v>248</v>
      </c>
      <c r="J89" s="159"/>
      <c r="K89" s="159"/>
      <c r="L89" s="159"/>
      <c r="M89" s="159"/>
      <c r="N89" s="159">
        <f>-88968+36769</f>
        <v>-52199</v>
      </c>
      <c r="O89" s="159"/>
      <c r="P89" s="159">
        <v>15492</v>
      </c>
      <c r="Q89" s="144"/>
      <c r="R89" s="153">
        <f t="shared" si="0"/>
        <v>357706.19</v>
      </c>
    </row>
    <row r="90" spans="1:20" x14ac:dyDescent="0.25">
      <c r="A90" t="str">
        <f>'ALL GOVERNMENT FUNDS'!A77</f>
        <v>Debt Service &amp; Capital Outlay</v>
      </c>
      <c r="B90" s="48">
        <f>'ALL GOVERNMENT FUNDS'!B77</f>
        <v>0</v>
      </c>
      <c r="C90" s="48">
        <f>'ALL GOVERNMENT FUNDS'!C77</f>
        <v>783392</v>
      </c>
      <c r="D90" s="48">
        <f>'ALL GOVERNMENT FUNDS'!D77</f>
        <v>0</v>
      </c>
      <c r="E90" s="48">
        <f>'ALL GOVERNMENT FUNDS'!E77</f>
        <v>0</v>
      </c>
      <c r="F90" s="48">
        <f>'ALL GOVERNMENT FUNDS'!F77</f>
        <v>0</v>
      </c>
      <c r="G90" s="48">
        <f>'ALL GOVERNMENT FUNDS'!G77</f>
        <v>783392</v>
      </c>
      <c r="H90" s="144"/>
      <c r="I90" s="159"/>
      <c r="J90" s="159"/>
      <c r="K90" s="159">
        <v>-710000</v>
      </c>
      <c r="L90" s="159"/>
      <c r="M90" s="159"/>
      <c r="N90" s="159"/>
      <c r="O90" s="159">
        <v>-51392</v>
      </c>
      <c r="P90" s="159"/>
      <c r="Q90" s="144"/>
      <c r="R90" s="153">
        <f t="shared" si="0"/>
        <v>22000</v>
      </c>
      <c r="S90" s="48">
        <f>SUM(R83:R90)</f>
        <v>51039778.810000002</v>
      </c>
    </row>
    <row r="91" spans="1:20" x14ac:dyDescent="0.25">
      <c r="A91" s="77" t="str">
        <f>'ALL GOVERNMENT FUNDS'!A78</f>
        <v>Total Expenditures</v>
      </c>
      <c r="B91" s="138">
        <f>'ALL GOVERNMENT FUNDS'!B78</f>
        <v>17086650.400000002</v>
      </c>
      <c r="C91" s="138">
        <f>'ALL GOVERNMENT FUNDS'!C78</f>
        <v>792492</v>
      </c>
      <c r="D91" s="138">
        <f>'ALL GOVERNMENT FUNDS'!D78</f>
        <v>17603492.559999999</v>
      </c>
      <c r="E91" s="138">
        <f>'ALL GOVERNMENT FUNDS'!E78</f>
        <v>8691756.1300000008</v>
      </c>
      <c r="F91" s="138">
        <f>'ALL GOVERNMENT FUNDS'!F78</f>
        <v>6289978.7599999988</v>
      </c>
      <c r="G91" s="138">
        <f>'ALL GOVERNMENT FUNDS'!G78</f>
        <v>50464369.850000001</v>
      </c>
      <c r="H91" s="138">
        <f>SUM(H83:H90)</f>
        <v>0</v>
      </c>
      <c r="I91" s="138">
        <f t="shared" ref="I91:Q91" si="8">SUM(I83:I90)</f>
        <v>24763</v>
      </c>
      <c r="J91" s="138">
        <f t="shared" si="8"/>
        <v>0</v>
      </c>
      <c r="K91" s="138">
        <f t="shared" si="8"/>
        <v>-743133</v>
      </c>
      <c r="L91" s="138">
        <f t="shared" si="8"/>
        <v>0</v>
      </c>
      <c r="M91" s="138">
        <f t="shared" si="8"/>
        <v>0</v>
      </c>
      <c r="N91" s="138">
        <f t="shared" si="8"/>
        <v>801543.96</v>
      </c>
      <c r="O91" s="138">
        <f t="shared" si="8"/>
        <v>-51392</v>
      </c>
      <c r="P91" s="138">
        <f t="shared" si="8"/>
        <v>543627</v>
      </c>
      <c r="Q91" s="138">
        <f t="shared" si="8"/>
        <v>0</v>
      </c>
      <c r="R91" s="140">
        <f t="shared" si="0"/>
        <v>51039778.810000002</v>
      </c>
      <c r="S91" s="48"/>
      <c r="T91" s="48"/>
    </row>
    <row r="92" spans="1:20" x14ac:dyDescent="0.25">
      <c r="R92" s="139"/>
    </row>
    <row r="93" spans="1:20" x14ac:dyDescent="0.25">
      <c r="A93" s="77" t="str">
        <f>'ALL GOVERNMENT FUNDS'!A80</f>
        <v>Excess (Deficiency)</v>
      </c>
      <c r="B93" s="149">
        <f>'ALL GOVERNMENT FUNDS'!B80</f>
        <v>12230.559999998659</v>
      </c>
      <c r="C93" s="149">
        <f>'ALL GOVERNMENT FUNDS'!C80</f>
        <v>-791860.16999999993</v>
      </c>
      <c r="D93" s="149">
        <f>'ALL GOVERNMENT FUNDS'!D80</f>
        <v>-357641.82999999879</v>
      </c>
      <c r="E93" s="149">
        <f>'ALL GOVERNMENT FUNDS'!E80</f>
        <v>149999.61999999918</v>
      </c>
      <c r="F93" s="149">
        <f>'ALL GOVERNMENT FUNDS'!F80</f>
        <v>-75869.55999999959</v>
      </c>
      <c r="G93" s="149">
        <f>'ALL GOVERNMENT FUNDS'!G80</f>
        <v>-1063141.3800000004</v>
      </c>
      <c r="H93" s="149">
        <f>H80-H91</f>
        <v>0</v>
      </c>
      <c r="I93" s="149">
        <f t="shared" ref="I93:Q93" si="9">I80-I91</f>
        <v>-24763</v>
      </c>
      <c r="J93" s="149">
        <f t="shared" si="9"/>
        <v>-7042</v>
      </c>
      <c r="K93" s="149">
        <f t="shared" si="9"/>
        <v>743133</v>
      </c>
      <c r="L93" s="149">
        <f t="shared" si="9"/>
        <v>-5676</v>
      </c>
      <c r="M93" s="149">
        <f t="shared" si="9"/>
        <v>0</v>
      </c>
      <c r="N93" s="149">
        <f t="shared" si="9"/>
        <v>-801543.96</v>
      </c>
      <c r="O93" s="149">
        <f t="shared" si="9"/>
        <v>62432</v>
      </c>
      <c r="P93" s="149">
        <f t="shared" si="9"/>
        <v>-543627</v>
      </c>
      <c r="Q93" s="149">
        <f t="shared" si="9"/>
        <v>0</v>
      </c>
      <c r="R93" s="148">
        <f t="shared" ref="R93:R101" si="10">SUM(G93:Q93)</f>
        <v>-1640228.3400000003</v>
      </c>
      <c r="S93" s="48">
        <f>S79-S90</f>
        <v>-1640228.340000011</v>
      </c>
    </row>
    <row r="94" spans="1:20" x14ac:dyDescent="0.25">
      <c r="R94" s="139"/>
    </row>
    <row r="95" spans="1:20" x14ac:dyDescent="0.25">
      <c r="A95" t="str">
        <f>'ALL GOVERNMENT FUNDS'!A82</f>
        <v>Sale of Fixed Assets</v>
      </c>
      <c r="B95" s="48">
        <f>'ALL GOVERNMENT FUNDS'!B82</f>
        <v>3038.84</v>
      </c>
      <c r="C95" s="48">
        <f>'ALL GOVERNMENT FUNDS'!C82</f>
        <v>0</v>
      </c>
      <c r="D95" s="48">
        <f>'ALL GOVERNMENT FUNDS'!D82</f>
        <v>9870</v>
      </c>
      <c r="E95" s="48">
        <f>'ALL GOVERNMENT FUNDS'!E82</f>
        <v>0</v>
      </c>
      <c r="F95" s="48">
        <f>'ALL GOVERNMENT FUNDS'!F82</f>
        <v>0</v>
      </c>
      <c r="G95" s="139">
        <f>'ALL GOVERNMENT FUNDS'!G82</f>
        <v>12908.84</v>
      </c>
      <c r="H95" s="144"/>
      <c r="I95" s="144"/>
      <c r="J95" s="144"/>
      <c r="K95" s="144"/>
      <c r="L95" s="144"/>
      <c r="M95" s="144"/>
      <c r="N95" s="144">
        <f>-104513+104513</f>
        <v>0</v>
      </c>
      <c r="O95" s="144"/>
      <c r="P95" s="144"/>
      <c r="Q95" s="144"/>
      <c r="R95" s="139">
        <f t="shared" si="10"/>
        <v>12908.84</v>
      </c>
      <c r="S95" s="48">
        <f>R95</f>
        <v>12908.84</v>
      </c>
    </row>
    <row r="96" spans="1:20" x14ac:dyDescent="0.25">
      <c r="A96" t="str">
        <f>'ALL GOVERNMENT FUNDS'!A83</f>
        <v>Proceeds from capital leases</v>
      </c>
      <c r="B96" s="48">
        <f>'ALL GOVERNMENT FUNDS'!B83</f>
        <v>0</v>
      </c>
      <c r="C96" s="48">
        <f>'ALL GOVERNMENT FUNDS'!C83</f>
        <v>59992</v>
      </c>
      <c r="D96" s="48">
        <f>'ALL GOVERNMENT FUNDS'!D83</f>
        <v>0</v>
      </c>
      <c r="E96" s="48">
        <f>'ALL GOVERNMENT FUNDS'!E83</f>
        <v>0</v>
      </c>
      <c r="F96" s="48">
        <f>'ALL GOVERNMENT FUNDS'!F83</f>
        <v>0</v>
      </c>
      <c r="G96" s="48">
        <f>'ALL GOVERNMENT FUNDS'!G83</f>
        <v>59992</v>
      </c>
      <c r="H96" s="144"/>
      <c r="I96" s="144"/>
      <c r="J96" s="144"/>
      <c r="K96" s="144"/>
      <c r="L96" s="144"/>
      <c r="M96" s="144"/>
      <c r="N96" s="144"/>
      <c r="O96" s="144">
        <v>-59992</v>
      </c>
      <c r="P96" s="144"/>
      <c r="Q96" s="144"/>
      <c r="R96" s="139">
        <f t="shared" si="10"/>
        <v>0</v>
      </c>
    </row>
    <row r="97" spans="1:19" x14ac:dyDescent="0.25">
      <c r="A97" t="str">
        <f>'ALL GOVERNMENT FUNDS'!A84</f>
        <v>Premium on refunding bonds</v>
      </c>
      <c r="B97" s="48">
        <f>'ALL GOVERNMENT FUNDS'!B84</f>
        <v>0</v>
      </c>
      <c r="C97" s="48">
        <f>'ALL GOVERNMENT FUNDS'!C84</f>
        <v>0</v>
      </c>
      <c r="D97" s="48">
        <f>'ALL GOVERNMENT FUNDS'!D84</f>
        <v>0</v>
      </c>
      <c r="E97" s="48">
        <f>'ALL GOVERNMENT FUNDS'!E84</f>
        <v>0</v>
      </c>
      <c r="F97" s="48">
        <f>'ALL GOVERNMENT FUNDS'!F84</f>
        <v>0</v>
      </c>
      <c r="G97" s="48">
        <f>'ALL GOVERNMENT FUNDS'!G84</f>
        <v>0</v>
      </c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39">
        <f t="shared" si="10"/>
        <v>0</v>
      </c>
    </row>
    <row r="98" spans="1:19" x14ac:dyDescent="0.25">
      <c r="A98" t="str">
        <f>'ALL GOVERNMENT FUNDS'!A85</f>
        <v xml:space="preserve">Payment to refunded bond escrow </v>
      </c>
      <c r="B98" s="48">
        <f>'ALL GOVERNMENT FUNDS'!B85</f>
        <v>0</v>
      </c>
      <c r="C98" s="48">
        <f>'ALL GOVERNMENT FUNDS'!C85</f>
        <v>0</v>
      </c>
      <c r="D98" s="48">
        <f>'ALL GOVERNMENT FUNDS'!D85</f>
        <v>0</v>
      </c>
      <c r="E98" s="48">
        <f>'ALL GOVERNMENT FUNDS'!E85</f>
        <v>0</v>
      </c>
      <c r="F98" s="48">
        <f>'ALL GOVERNMENT FUNDS'!F85</f>
        <v>0</v>
      </c>
      <c r="G98" s="48">
        <f>'ALL GOVERNMENT FUNDS'!G85</f>
        <v>0</v>
      </c>
      <c r="H98" s="144"/>
      <c r="I98" s="144"/>
      <c r="J98" s="144"/>
      <c r="K98" s="144"/>
      <c r="L98" s="144"/>
      <c r="M98" s="144"/>
      <c r="N98" s="144"/>
      <c r="O98" s="144"/>
      <c r="P98" s="144"/>
      <c r="Q98" s="144"/>
      <c r="R98" s="139">
        <f t="shared" si="10"/>
        <v>0</v>
      </c>
    </row>
    <row r="99" spans="1:19" x14ac:dyDescent="0.25">
      <c r="A99" t="str">
        <f>'ALL GOVERNMENT FUNDS'!A86</f>
        <v>Transfers In</v>
      </c>
      <c r="B99" s="48">
        <f>'ALL GOVERNMENT FUNDS'!B86</f>
        <v>4371940.43</v>
      </c>
      <c r="C99" s="48">
        <f>'ALL GOVERNMENT FUNDS'!C86</f>
        <v>822257.38</v>
      </c>
      <c r="D99" s="48">
        <f>'ALL GOVERNMENT FUNDS'!D86</f>
        <v>1320723.0000000002</v>
      </c>
      <c r="E99" s="48">
        <f>'ALL GOVERNMENT FUNDS'!E86</f>
        <v>0</v>
      </c>
      <c r="F99" s="48">
        <f>'ALL GOVERNMENT FUNDS'!F86</f>
        <v>2260435.4300000002</v>
      </c>
      <c r="G99" s="48">
        <f>'ALL GOVERNMENT FUNDS'!G86</f>
        <v>8775356.2400000002</v>
      </c>
      <c r="H99" s="144"/>
      <c r="I99" s="144"/>
      <c r="J99" s="144"/>
      <c r="K99" s="144"/>
      <c r="L99" s="144"/>
      <c r="M99" s="144"/>
      <c r="N99" s="144"/>
      <c r="O99" s="144"/>
      <c r="P99" s="144"/>
      <c r="Q99" s="144"/>
      <c r="R99" s="139">
        <f t="shared" si="10"/>
        <v>8775356.2400000002</v>
      </c>
    </row>
    <row r="100" spans="1:19" x14ac:dyDescent="0.25">
      <c r="A100" t="str">
        <f>'ALL GOVERNMENT FUNDS'!A87</f>
        <v>Transfers Out</v>
      </c>
      <c r="B100" s="48">
        <f>'ALL GOVERNMENT FUNDS'!B87</f>
        <v>5325602.0199999996</v>
      </c>
      <c r="C100" s="48">
        <f>'ALL GOVERNMENT FUNDS'!C87</f>
        <v>109741.8</v>
      </c>
      <c r="D100" s="48">
        <f>'ALL GOVERNMENT FUNDS'!D87</f>
        <v>996352.87999999989</v>
      </c>
      <c r="E100" s="48">
        <f>'ALL GOVERNMENT FUNDS'!E87</f>
        <v>150000</v>
      </c>
      <c r="F100" s="48">
        <f>'ALL GOVERNMENT FUNDS'!F87</f>
        <v>2193658</v>
      </c>
      <c r="G100" s="48">
        <f>'ALL GOVERNMENT FUNDS'!G87</f>
        <v>8775354.6999999993</v>
      </c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39">
        <f t="shared" si="10"/>
        <v>8775354.6999999993</v>
      </c>
    </row>
    <row r="101" spans="1:19" x14ac:dyDescent="0.25">
      <c r="A101" s="77" t="str">
        <f>'ALL GOVERNMENT FUNDS'!A88</f>
        <v>Total Other</v>
      </c>
      <c r="B101" s="138">
        <f>'ALL GOVERNMENT FUNDS'!B88</f>
        <v>-950622.75000000035</v>
      </c>
      <c r="C101" s="138">
        <f>'ALL GOVERNMENT FUNDS'!C88</f>
        <v>772507.58</v>
      </c>
      <c r="D101" s="138">
        <f>'ALL GOVERNMENT FUNDS'!D88</f>
        <v>334240.12000000005</v>
      </c>
      <c r="E101" s="138">
        <f>'ALL GOVERNMENT FUNDS'!E88</f>
        <v>-150000</v>
      </c>
      <c r="F101" s="138">
        <f>'ALL GOVERNMENT FUNDS'!F88</f>
        <v>66777.429999999964</v>
      </c>
      <c r="G101" s="138">
        <f>'ALL GOVERNMENT FUNDS'!G88</f>
        <v>72902.38000000082</v>
      </c>
      <c r="H101" s="147">
        <f>H95+H96+H97+H98+H99-H100</f>
        <v>0</v>
      </c>
      <c r="I101" s="147">
        <f t="shared" ref="I101:Q101" si="11">I95+I96+I97+I98+I99-I100</f>
        <v>0</v>
      </c>
      <c r="J101" s="147">
        <f t="shared" si="11"/>
        <v>0</v>
      </c>
      <c r="K101" s="147">
        <f t="shared" si="11"/>
        <v>0</v>
      </c>
      <c r="L101" s="147">
        <f t="shared" si="11"/>
        <v>0</v>
      </c>
      <c r="M101" s="147">
        <f t="shared" si="11"/>
        <v>0</v>
      </c>
      <c r="N101" s="147">
        <f t="shared" si="11"/>
        <v>0</v>
      </c>
      <c r="O101" s="147">
        <f t="shared" si="11"/>
        <v>-59992</v>
      </c>
      <c r="P101" s="147">
        <f t="shared" si="11"/>
        <v>0</v>
      </c>
      <c r="Q101" s="147">
        <f t="shared" si="11"/>
        <v>0</v>
      </c>
      <c r="R101" s="140">
        <f t="shared" si="10"/>
        <v>12910.38000000082</v>
      </c>
      <c r="S101" s="48">
        <f>SUM(S93:S100)</f>
        <v>-1627319.5000000109</v>
      </c>
    </row>
    <row r="103" spans="1:19" x14ac:dyDescent="0.25">
      <c r="A103" s="77" t="str">
        <f>'ALL GOVERNMENT FUNDS'!A90</f>
        <v>Net Change in Fund Balance</v>
      </c>
      <c r="B103" s="149">
        <f>'ALL GOVERNMENT FUNDS'!B90</f>
        <v>-938392.18999999936</v>
      </c>
      <c r="C103" s="149">
        <f>'ALL GOVERNMENT FUNDS'!C90</f>
        <v>-19352.589999999953</v>
      </c>
      <c r="D103" s="149">
        <f>'ALL GOVERNMENT FUNDS'!D90</f>
        <v>-23401.70999999874</v>
      </c>
      <c r="E103" s="149">
        <f>'ALL GOVERNMENT FUNDS'!E90</f>
        <v>-0.38000000081956387</v>
      </c>
      <c r="F103" s="149">
        <f>'ALL GOVERNMENT FUNDS'!F90</f>
        <v>-9092.1299999996263</v>
      </c>
      <c r="G103" s="149">
        <f>'ALL GOVERNMENT FUNDS'!G90</f>
        <v>-990238.9999999986</v>
      </c>
      <c r="S103" s="48"/>
    </row>
    <row r="104" spans="1:19" x14ac:dyDescent="0.25">
      <c r="A104" t="str">
        <f>'ALL GOVERNMENT FUNDS'!A91</f>
        <v>Fund Balance - Beginning</v>
      </c>
      <c r="B104" s="48">
        <f>'ALL GOVERNMENT FUNDS'!B91</f>
        <v>8474759.9299999997</v>
      </c>
      <c r="C104" s="48">
        <f>'ALL GOVERNMENT FUNDS'!C91</f>
        <v>270433.03999999998</v>
      </c>
      <c r="D104" s="48">
        <f>'ALL GOVERNMENT FUNDS'!D91</f>
        <v>373795.42999999877</v>
      </c>
      <c r="E104" s="48">
        <f>'ALL GOVERNMENT FUNDS'!E91</f>
        <v>1.7200000008195639</v>
      </c>
      <c r="F104" s="48">
        <f>'ALL GOVERNMENT FUNDS'!F91</f>
        <v>3391236.9000000004</v>
      </c>
      <c r="G104" s="48">
        <f>'ALL GOVERNMENT FUNDS'!G91</f>
        <v>12510227.02</v>
      </c>
      <c r="S104" s="144"/>
    </row>
    <row r="105" spans="1:19" x14ac:dyDescent="0.25">
      <c r="A105" s="77" t="str">
        <f>'ALL GOVERNMENT FUNDS'!A92</f>
        <v>Fund Balance - End of Year</v>
      </c>
      <c r="B105" s="149">
        <f>'ALL GOVERNMENT FUNDS'!B92</f>
        <v>7536367.7400000002</v>
      </c>
      <c r="C105" s="149">
        <f>'ALL GOVERNMENT FUNDS'!C92</f>
        <v>251080.45000000004</v>
      </c>
      <c r="D105" s="149">
        <f>'ALL GOVERNMENT FUNDS'!D92</f>
        <v>350393.72000000003</v>
      </c>
      <c r="E105" s="149">
        <f>'ALL GOVERNMENT FUNDS'!E92</f>
        <v>1.34</v>
      </c>
      <c r="F105" s="149">
        <f>'ALL GOVERNMENT FUNDS'!F92</f>
        <v>3382144.77</v>
      </c>
      <c r="G105" s="149">
        <f>'ALL GOVERNMENT FUNDS'!G92</f>
        <v>11519988.02</v>
      </c>
      <c r="S105" s="48"/>
    </row>
  </sheetData>
  <customSheetViews>
    <customSheetView guid="{E68B3865-8D72-47E7-BE32-0FF7EB09E889}" scale="106" showPageBreaks="1" fitToPage="1" printArea="1">
      <pane xSplit="6" ySplit="6" topLeftCell="M63" activePane="bottomRight" state="frozen"/>
      <selection pane="bottomRight" activeCell="B80" sqref="B80"/>
      <pageMargins left="0.25" right="0.25" top="0.75" bottom="0.75" header="0.3" footer="0.3"/>
      <printOptions gridLines="1"/>
      <pageSetup scale="35" fitToHeight="0" orientation="landscape" r:id="rId1"/>
    </customSheetView>
    <customSheetView guid="{DE6E911D-85BF-467A-AA00-1E84C5349CF7}" showPageBreaks="1" fitToPage="1">
      <pane xSplit="1" ySplit="6" topLeftCell="J40" activePane="bottomRight" state="frozen"/>
      <selection pane="bottomRight" activeCell="Q61" sqref="Q61"/>
      <pageMargins left="0.7" right="0.7" top="0.75" bottom="0.75" header="0.3" footer="0.3"/>
      <printOptions gridLines="1"/>
      <pageSetup paperSize="5" scale="40" fitToHeight="2" orientation="landscape" r:id="rId2"/>
    </customSheetView>
  </customSheetViews>
  <printOptions gridLines="1"/>
  <pageMargins left="0.25" right="0.25" top="0.75" bottom="0.75" header="0.3" footer="0.3"/>
  <pageSetup scale="35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2"/>
  <sheetViews>
    <sheetView zoomScaleNormal="100" workbookViewId="0">
      <pane xSplit="1" ySplit="6" topLeftCell="R44" activePane="bottomRight" state="frozen"/>
      <selection pane="topRight" activeCell="B1" sqref="B1"/>
      <selection pane="bottomLeft" activeCell="A7" sqref="A7"/>
      <selection pane="bottomRight" activeCell="B5" sqref="B5:AH5"/>
    </sheetView>
  </sheetViews>
  <sheetFormatPr defaultRowHeight="15" outlineLevelCol="1" x14ac:dyDescent="0.25"/>
  <cols>
    <col min="1" max="1" width="31" customWidth="1"/>
    <col min="2" max="2" width="12.7109375" style="6" bestFit="1" customWidth="1"/>
    <col min="3" max="3" width="14.85546875" style="6" bestFit="1" customWidth="1"/>
    <col min="4" max="4" width="12.7109375" style="17" bestFit="1" customWidth="1"/>
    <col min="5" max="6" width="11.85546875" style="17" bestFit="1" customWidth="1"/>
    <col min="7" max="7" width="13.5703125" customWidth="1"/>
    <col min="9" max="10" width="11.85546875" style="17" customWidth="1" outlineLevel="1"/>
    <col min="11" max="11" width="11.85546875" style="17" customWidth="1"/>
    <col min="12" max="12" width="11.85546875" style="17" bestFit="1" customWidth="1"/>
    <col min="13" max="14" width="11.85546875" style="6" bestFit="1" customWidth="1"/>
    <col min="15" max="16" width="12.5703125" style="6" customWidth="1" outlineLevel="1"/>
    <col min="17" max="17" width="12.5703125" style="6" customWidth="1"/>
    <col min="18" max="18" width="14.140625" customWidth="1"/>
    <col min="19" max="19" width="13.42578125" style="48" bestFit="1" customWidth="1" outlineLevel="1"/>
    <col min="20" max="20" width="11.5703125" bestFit="1" customWidth="1" outlineLevel="1"/>
    <col min="21" max="21" width="11.85546875" bestFit="1" customWidth="1"/>
    <col min="22" max="22" width="13.42578125" style="48" bestFit="1" customWidth="1" outlineLevel="1"/>
    <col min="23" max="23" width="12.28515625" customWidth="1" outlineLevel="1"/>
    <col min="24" max="24" width="11.85546875" bestFit="1" customWidth="1"/>
    <col min="25" max="25" width="10.85546875" bestFit="1" customWidth="1"/>
    <col min="26" max="26" width="14.140625" customWidth="1"/>
    <col min="27" max="27" width="14.42578125" customWidth="1"/>
    <col min="28" max="28" width="14.140625" customWidth="1"/>
    <col min="30" max="30" width="10.140625" bestFit="1" customWidth="1"/>
    <col min="31" max="32" width="11.85546875" customWidth="1" outlineLevel="1"/>
    <col min="33" max="33" width="12.7109375" bestFit="1" customWidth="1"/>
    <col min="34" max="34" width="13.5703125" style="6" bestFit="1" customWidth="1"/>
    <col min="35" max="35" width="13.5703125" bestFit="1" customWidth="1"/>
  </cols>
  <sheetData>
    <row r="1" spans="1:35" ht="23.25" x14ac:dyDescent="0.35">
      <c r="A1" s="5" t="s">
        <v>53</v>
      </c>
    </row>
    <row r="2" spans="1:35" x14ac:dyDescent="0.25">
      <c r="A2" t="s">
        <v>1</v>
      </c>
    </row>
    <row r="3" spans="1:35" x14ac:dyDescent="0.25">
      <c r="A3" s="1">
        <v>43435</v>
      </c>
    </row>
    <row r="4" spans="1:35" x14ac:dyDescent="0.25">
      <c r="A4" s="1"/>
    </row>
    <row r="5" spans="1:35" ht="60" x14ac:dyDescent="0.25">
      <c r="A5" s="1"/>
      <c r="B5" s="7" t="s">
        <v>54</v>
      </c>
      <c r="C5" s="7" t="s">
        <v>55</v>
      </c>
      <c r="D5" s="7" t="s">
        <v>225</v>
      </c>
      <c r="E5" s="18" t="s">
        <v>64</v>
      </c>
      <c r="F5" s="18" t="s">
        <v>315</v>
      </c>
      <c r="G5" s="124" t="s">
        <v>403</v>
      </c>
      <c r="I5" s="18" t="s">
        <v>68</v>
      </c>
      <c r="J5" s="18" t="s">
        <v>234</v>
      </c>
      <c r="K5" s="18" t="s">
        <v>231</v>
      </c>
      <c r="L5" s="18" t="s">
        <v>69</v>
      </c>
      <c r="M5" s="7" t="s">
        <v>70</v>
      </c>
      <c r="N5" s="7" t="s">
        <v>71</v>
      </c>
      <c r="O5" s="7" t="s">
        <v>72</v>
      </c>
      <c r="P5" s="7" t="s">
        <v>235</v>
      </c>
      <c r="Q5" s="7" t="s">
        <v>232</v>
      </c>
      <c r="R5" s="7" t="s">
        <v>74</v>
      </c>
      <c r="S5" s="49" t="s">
        <v>75</v>
      </c>
      <c r="T5" s="7" t="s">
        <v>47</v>
      </c>
      <c r="U5" s="7" t="s">
        <v>91</v>
      </c>
      <c r="V5" s="49" t="s">
        <v>76</v>
      </c>
      <c r="W5" s="7" t="s">
        <v>47</v>
      </c>
      <c r="X5" s="7" t="s">
        <v>92</v>
      </c>
      <c r="Y5" s="7" t="s">
        <v>77</v>
      </c>
      <c r="Z5" s="7" t="s">
        <v>78</v>
      </c>
      <c r="AA5" s="7" t="s">
        <v>244</v>
      </c>
      <c r="AB5" s="7" t="s">
        <v>79</v>
      </c>
      <c r="AD5" s="7" t="s">
        <v>81</v>
      </c>
      <c r="AE5" s="7" t="s">
        <v>82</v>
      </c>
      <c r="AF5" s="7" t="s">
        <v>47</v>
      </c>
      <c r="AG5" s="7" t="s">
        <v>185</v>
      </c>
      <c r="AH5" s="7" t="s">
        <v>65</v>
      </c>
      <c r="AI5" s="26" t="s">
        <v>84</v>
      </c>
    </row>
    <row r="6" spans="1:35" x14ac:dyDescent="0.25">
      <c r="R6" s="6"/>
      <c r="T6" s="6"/>
      <c r="U6" s="6"/>
      <c r="W6" s="6"/>
      <c r="X6" s="6"/>
      <c r="Y6" s="6"/>
      <c r="Z6" s="6"/>
      <c r="AA6" s="6"/>
      <c r="AB6" s="6"/>
      <c r="AD6" s="6"/>
      <c r="AE6" s="6"/>
      <c r="AF6" s="6"/>
      <c r="AG6" s="6"/>
      <c r="AI6" s="26"/>
    </row>
    <row r="7" spans="1:35" x14ac:dyDescent="0.25">
      <c r="A7" s="3" t="s">
        <v>2</v>
      </c>
      <c r="B7" s="16"/>
      <c r="C7" s="16"/>
      <c r="R7" s="6"/>
      <c r="T7" s="6"/>
      <c r="U7" s="6"/>
      <c r="W7" s="6"/>
      <c r="X7" s="6"/>
      <c r="Y7" s="6"/>
      <c r="Z7" s="6"/>
      <c r="AA7" s="6"/>
      <c r="AB7" s="6"/>
      <c r="AD7" s="6"/>
      <c r="AE7" s="6"/>
      <c r="AF7" s="6"/>
      <c r="AG7" s="6"/>
      <c r="AI7" s="26"/>
    </row>
    <row r="8" spans="1:35" x14ac:dyDescent="0.25">
      <c r="A8" s="4" t="s">
        <v>3</v>
      </c>
      <c r="B8" s="20">
        <v>1219572.22</v>
      </c>
      <c r="C8" s="20">
        <v>19293.64</v>
      </c>
      <c r="D8" s="17">
        <f>'Airport Funds'!I8</f>
        <v>-379122.55</v>
      </c>
      <c r="E8" s="20">
        <v>66855.8</v>
      </c>
      <c r="F8" s="20">
        <v>300479.27</v>
      </c>
      <c r="G8" s="20">
        <v>19769.52</v>
      </c>
      <c r="I8" s="20">
        <v>298098.96999999997</v>
      </c>
      <c r="J8" s="20"/>
      <c r="K8" s="19">
        <f>SUM(I8:J8)</f>
        <v>298098.96999999997</v>
      </c>
      <c r="L8" s="20">
        <v>439870.21</v>
      </c>
      <c r="M8" s="20">
        <v>7788.8</v>
      </c>
      <c r="N8" s="20">
        <v>28363.919999999998</v>
      </c>
      <c r="O8" s="20">
        <v>27947.52</v>
      </c>
      <c r="P8" s="20"/>
      <c r="Q8" s="16">
        <f t="shared" ref="Q8:Q48" si="0">SUM(O8:P8)</f>
        <v>27947.52</v>
      </c>
      <c r="R8" s="35">
        <f>CDBG!H8</f>
        <v>-153586.18</v>
      </c>
      <c r="S8" s="51">
        <v>-41398.199999999997</v>
      </c>
      <c r="T8" s="20"/>
      <c r="U8" s="6">
        <f t="shared" ref="U8:U13" si="1">S8+T8</f>
        <v>-41398.199999999997</v>
      </c>
      <c r="V8" s="52">
        <v>-23845.47</v>
      </c>
      <c r="W8" s="20"/>
      <c r="X8" s="6">
        <f t="shared" ref="X8:X13" si="2">V8+W8</f>
        <v>-23845.47</v>
      </c>
      <c r="Y8" s="6">
        <f>'OEO-Weatherization'!H8</f>
        <v>25534.7</v>
      </c>
      <c r="Z8" s="6">
        <f>'OEO-Other'!Y8</f>
        <v>805106.94000000006</v>
      </c>
      <c r="AA8" s="6">
        <f>'Transportation Fund'!Y8</f>
        <v>-203763.24</v>
      </c>
      <c r="AB8" s="6">
        <f>'Special Purpose '!E8</f>
        <v>161824.82</v>
      </c>
      <c r="AD8" s="20">
        <v>10785.43</v>
      </c>
      <c r="AE8" s="20">
        <v>693112.67</v>
      </c>
      <c r="AF8" s="20"/>
      <c r="AG8" s="6">
        <f t="shared" ref="AG8:AG13" si="3">AE8+AF8</f>
        <v>693112.67</v>
      </c>
      <c r="AH8" s="6">
        <f>'911'!H8</f>
        <v>190260.32</v>
      </c>
      <c r="AI8" s="26">
        <f>B8+C8+D8+E8+F8+G8+K8+L8+M8+N8+Q8+R8+U8+X8+Y8+Z8+AA8+AB8+AD8+AG8+AH8</f>
        <v>3512949.11</v>
      </c>
    </row>
    <row r="9" spans="1:35" x14ac:dyDescent="0.25">
      <c r="A9" s="4" t="s">
        <v>4</v>
      </c>
      <c r="B9" s="20"/>
      <c r="C9" s="20"/>
      <c r="D9" s="17">
        <f>'Airport Funds'!I9</f>
        <v>383688.46</v>
      </c>
      <c r="E9" s="20"/>
      <c r="F9" s="20"/>
      <c r="G9" s="20"/>
      <c r="I9" s="20"/>
      <c r="J9" s="20"/>
      <c r="K9" s="19">
        <f>SUM(I9:J9)</f>
        <v>0</v>
      </c>
      <c r="L9" s="20"/>
      <c r="M9" s="20"/>
      <c r="N9" s="20"/>
      <c r="O9" s="20"/>
      <c r="P9" s="20"/>
      <c r="Q9" s="16">
        <f t="shared" si="0"/>
        <v>0</v>
      </c>
      <c r="R9" s="35">
        <f>CDBG!H9</f>
        <v>153017.03</v>
      </c>
      <c r="S9" s="51">
        <v>95525</v>
      </c>
      <c r="T9" s="20"/>
      <c r="U9" s="6">
        <f t="shared" si="1"/>
        <v>95525</v>
      </c>
      <c r="V9" s="57"/>
      <c r="W9" s="20"/>
      <c r="X9" s="6">
        <f t="shared" si="2"/>
        <v>0</v>
      </c>
      <c r="Y9" s="6">
        <f>'OEO-Weatherization'!H9</f>
        <v>1501</v>
      </c>
      <c r="Z9" s="6">
        <f>'OEO-Other'!Y9</f>
        <v>10675.58</v>
      </c>
      <c r="AA9" s="6">
        <f>'Transportation Fund'!Y9</f>
        <v>0</v>
      </c>
      <c r="AB9" s="6">
        <f>'Special Purpose '!E9</f>
        <v>0</v>
      </c>
      <c r="AD9" s="20"/>
      <c r="AE9" s="20"/>
      <c r="AF9" s="20">
        <v>60570</v>
      </c>
      <c r="AG9" s="6">
        <f t="shared" si="3"/>
        <v>60570</v>
      </c>
      <c r="AH9" s="6">
        <f>'911'!H9</f>
        <v>236497.15</v>
      </c>
      <c r="AI9" s="26">
        <f t="shared" ref="AI9:AI13" si="4">B9+C9+D9+E9+F9+G9+K9+L9+M9+N9+Q9+R9+U9+X9+Y9+Z9+AA9+AB9+AD9+AG9+AH9</f>
        <v>941474.22</v>
      </c>
    </row>
    <row r="10" spans="1:35" x14ac:dyDescent="0.25">
      <c r="A10" s="4" t="s">
        <v>6</v>
      </c>
      <c r="B10" s="20"/>
      <c r="C10" s="20">
        <v>2496.88</v>
      </c>
      <c r="D10" s="17">
        <f>'Airport Funds'!I10</f>
        <v>0</v>
      </c>
      <c r="E10" s="20"/>
      <c r="F10" s="20"/>
      <c r="G10" s="20"/>
      <c r="I10" s="20">
        <v>468.01</v>
      </c>
      <c r="J10" s="20"/>
      <c r="K10" s="19">
        <f>SUM(I10:J10)</f>
        <v>468.01</v>
      </c>
      <c r="L10" s="20">
        <v>5275.48</v>
      </c>
      <c r="M10" s="20">
        <v>787.98</v>
      </c>
      <c r="N10" s="20"/>
      <c r="O10" s="20"/>
      <c r="P10" s="20"/>
      <c r="Q10" s="16">
        <f t="shared" si="0"/>
        <v>0</v>
      </c>
      <c r="R10" s="35">
        <f>CDBG!H10</f>
        <v>569</v>
      </c>
      <c r="S10" s="51"/>
      <c r="T10" s="20"/>
      <c r="U10" s="6">
        <f t="shared" si="1"/>
        <v>0</v>
      </c>
      <c r="V10" s="52">
        <v>40440.589999999997</v>
      </c>
      <c r="W10" s="20"/>
      <c r="X10" s="6">
        <f t="shared" si="2"/>
        <v>40440.589999999997</v>
      </c>
      <c r="Y10" s="6">
        <f>'OEO-Weatherization'!H10</f>
        <v>1956.21</v>
      </c>
      <c r="Z10" s="6">
        <f>'OEO-Other'!Y10</f>
        <v>5160.28</v>
      </c>
      <c r="AA10" s="6">
        <f>'Transportation Fund'!Y10</f>
        <v>1488.21</v>
      </c>
      <c r="AB10" s="6">
        <f>'Special Purpose '!E10</f>
        <v>0</v>
      </c>
      <c r="AD10" s="20"/>
      <c r="AE10" s="20"/>
      <c r="AF10" s="20"/>
      <c r="AG10" s="6">
        <f t="shared" si="3"/>
        <v>0</v>
      </c>
      <c r="AH10" s="6">
        <f>'911'!H10</f>
        <v>0</v>
      </c>
      <c r="AI10" s="26">
        <f t="shared" si="4"/>
        <v>58642.639999999992</v>
      </c>
    </row>
    <row r="11" spans="1:35" x14ac:dyDescent="0.25">
      <c r="A11" s="4" t="s">
        <v>5</v>
      </c>
      <c r="B11" s="20"/>
      <c r="C11" s="20"/>
      <c r="D11" s="17">
        <f>'Airport Funds'!I11</f>
        <v>0</v>
      </c>
      <c r="E11" s="20"/>
      <c r="F11" s="20"/>
      <c r="G11" s="20"/>
      <c r="I11" s="20"/>
      <c r="J11" s="20"/>
      <c r="K11" s="19">
        <f>SUM(I11:J11)</f>
        <v>0</v>
      </c>
      <c r="L11" s="20"/>
      <c r="M11" s="20"/>
      <c r="N11" s="20"/>
      <c r="O11" s="20"/>
      <c r="P11" s="20"/>
      <c r="Q11" s="16">
        <f t="shared" si="0"/>
        <v>0</v>
      </c>
      <c r="R11" s="35">
        <f>CDBG!H11</f>
        <v>0</v>
      </c>
      <c r="S11" s="51"/>
      <c r="T11" s="20"/>
      <c r="U11" s="6">
        <f t="shared" si="1"/>
        <v>0</v>
      </c>
      <c r="V11" s="52"/>
      <c r="W11" s="20"/>
      <c r="X11" s="6">
        <f t="shared" si="2"/>
        <v>0</v>
      </c>
      <c r="Y11" s="6">
        <f>'OEO-Weatherization'!H11</f>
        <v>4759</v>
      </c>
      <c r="Z11" s="6">
        <f>'OEO-Other'!Y11</f>
        <v>15656.51</v>
      </c>
      <c r="AA11" s="6">
        <f>'Transportation Fund'!Y11</f>
        <v>280831</v>
      </c>
      <c r="AB11" s="6">
        <f>'Special Purpose '!E11</f>
        <v>0</v>
      </c>
      <c r="AD11" s="20"/>
      <c r="AE11" s="20"/>
      <c r="AF11" s="20"/>
      <c r="AG11" s="6">
        <f t="shared" si="3"/>
        <v>0</v>
      </c>
      <c r="AH11" s="6">
        <f>'911'!H11</f>
        <v>0</v>
      </c>
      <c r="AI11" s="26">
        <f t="shared" si="4"/>
        <v>301246.51</v>
      </c>
    </row>
    <row r="12" spans="1:35" x14ac:dyDescent="0.25">
      <c r="A12" s="4" t="s">
        <v>61</v>
      </c>
      <c r="B12" s="20"/>
      <c r="C12" s="20"/>
      <c r="D12" s="17">
        <f>'Airport Funds'!I12</f>
        <v>52043.19</v>
      </c>
      <c r="E12" s="20"/>
      <c r="F12" s="20"/>
      <c r="G12" s="20"/>
      <c r="I12" s="20"/>
      <c r="J12" s="20"/>
      <c r="K12" s="19">
        <f>SUM(I12:J12)</f>
        <v>0</v>
      </c>
      <c r="L12" s="20"/>
      <c r="M12" s="20"/>
      <c r="N12" s="20"/>
      <c r="O12" s="20"/>
      <c r="P12" s="20"/>
      <c r="Q12" s="16">
        <f t="shared" si="0"/>
        <v>0</v>
      </c>
      <c r="R12" s="35">
        <f>CDBG!H12</f>
        <v>0</v>
      </c>
      <c r="S12" s="51">
        <v>2483.5100000000002</v>
      </c>
      <c r="T12" s="20"/>
      <c r="U12" s="6">
        <f t="shared" si="1"/>
        <v>2483.5100000000002</v>
      </c>
      <c r="V12" s="52">
        <v>1115.02</v>
      </c>
      <c r="W12" s="20"/>
      <c r="X12" s="6">
        <f t="shared" si="2"/>
        <v>1115.02</v>
      </c>
      <c r="Y12" s="6">
        <f>'OEO-Weatherization'!H12</f>
        <v>0</v>
      </c>
      <c r="Z12" s="6">
        <f>'OEO-Other'!Y12</f>
        <v>0</v>
      </c>
      <c r="AA12" s="6">
        <f>'Transportation Fund'!Y12</f>
        <v>0</v>
      </c>
      <c r="AB12" s="6">
        <f>'Special Purpose '!E12</f>
        <v>3000</v>
      </c>
      <c r="AD12" s="20"/>
      <c r="AE12" s="20"/>
      <c r="AF12" s="20"/>
      <c r="AG12" s="6">
        <f t="shared" si="3"/>
        <v>0</v>
      </c>
      <c r="AH12" s="6">
        <f>'911'!H12</f>
        <v>0</v>
      </c>
      <c r="AI12" s="26">
        <f t="shared" si="4"/>
        <v>58641.72</v>
      </c>
    </row>
    <row r="13" spans="1:35" x14ac:dyDescent="0.25">
      <c r="A13" s="2" t="s">
        <v>7</v>
      </c>
      <c r="B13" s="6">
        <f>SUM(B8:B12)</f>
        <v>1219572.22</v>
      </c>
      <c r="C13" s="6">
        <f>SUM(C8:C12)</f>
        <v>21790.52</v>
      </c>
      <c r="D13" s="17">
        <f>'Airport Funds'!I13</f>
        <v>56609.100000000042</v>
      </c>
      <c r="E13" s="17">
        <f>SUM(E8:E12)</f>
        <v>66855.8</v>
      </c>
      <c r="F13" s="17">
        <f>SUM(F8:F12)</f>
        <v>300479.27</v>
      </c>
      <c r="G13" s="17">
        <f>SUM(G8:G12)</f>
        <v>19769.52</v>
      </c>
      <c r="I13" s="17">
        <f t="shared" ref="I13:P13" si="5">SUM(I8:I12)</f>
        <v>298566.98</v>
      </c>
      <c r="J13" s="17">
        <f t="shared" si="5"/>
        <v>0</v>
      </c>
      <c r="K13" s="17">
        <f t="shared" si="5"/>
        <v>298566.98</v>
      </c>
      <c r="L13" s="17">
        <f t="shared" si="5"/>
        <v>445145.69</v>
      </c>
      <c r="M13" s="6">
        <f t="shared" si="5"/>
        <v>8576.7800000000007</v>
      </c>
      <c r="N13" s="6">
        <f t="shared" si="5"/>
        <v>28363.919999999998</v>
      </c>
      <c r="O13" s="6">
        <f t="shared" si="5"/>
        <v>27947.52</v>
      </c>
      <c r="P13" s="6">
        <f t="shared" si="5"/>
        <v>0</v>
      </c>
      <c r="Q13" s="16">
        <f t="shared" si="0"/>
        <v>27947.52</v>
      </c>
      <c r="R13" s="6">
        <f>CDBG!H13</f>
        <v>-0.14999999999770353</v>
      </c>
      <c r="S13" s="48">
        <f>ROUND(SUM(S8:S12),2)</f>
        <v>56610.31</v>
      </c>
      <c r="T13" s="6">
        <f>SUM(T8:T12)</f>
        <v>0</v>
      </c>
      <c r="U13" s="6">
        <f t="shared" si="1"/>
        <v>56610.31</v>
      </c>
      <c r="V13" s="48">
        <f>SUM(V8:V12)</f>
        <v>17710.139999999996</v>
      </c>
      <c r="W13" s="6">
        <f>SUM(W8:W12)</f>
        <v>0</v>
      </c>
      <c r="X13" s="6">
        <f t="shared" si="2"/>
        <v>17710.139999999996</v>
      </c>
      <c r="Y13" s="6">
        <f>'OEO-Weatherization'!H13</f>
        <v>33750.910000000003</v>
      </c>
      <c r="Z13" s="6">
        <f>'OEO-Other'!Y13</f>
        <v>836599.31</v>
      </c>
      <c r="AA13" s="6">
        <f>'Transportation Fund'!Y13</f>
        <v>78555.97</v>
      </c>
      <c r="AB13" s="6">
        <f>'Special Purpose '!E13</f>
        <v>164824.82</v>
      </c>
      <c r="AD13" s="6">
        <f>SUM(AD8:AD12)</f>
        <v>10785.43</v>
      </c>
      <c r="AE13" s="6">
        <f>SUM(AE8:AE12)</f>
        <v>693112.67</v>
      </c>
      <c r="AF13" s="6">
        <f>SUM(AF8:AF12)</f>
        <v>60570</v>
      </c>
      <c r="AG13" s="6">
        <f t="shared" si="3"/>
        <v>753682.67</v>
      </c>
      <c r="AH13" s="6">
        <f>'911'!H13</f>
        <v>426757.47</v>
      </c>
      <c r="AI13" s="26">
        <f t="shared" si="4"/>
        <v>4872954.2</v>
      </c>
    </row>
    <row r="14" spans="1:35" x14ac:dyDescent="0.25">
      <c r="K14" s="19">
        <f t="shared" ref="K14:K43" si="6">SUM(I14:J14)</f>
        <v>0</v>
      </c>
      <c r="Q14" s="16">
        <f t="shared" si="0"/>
        <v>0</v>
      </c>
      <c r="R14" s="6"/>
      <c r="T14" s="6"/>
      <c r="U14" s="6"/>
      <c r="W14" s="6"/>
      <c r="X14" s="6"/>
      <c r="Y14" s="6"/>
      <c r="Z14" s="6"/>
      <c r="AA14" s="6"/>
      <c r="AB14" s="6"/>
      <c r="AD14" s="6"/>
      <c r="AE14" s="6"/>
      <c r="AF14" s="6"/>
      <c r="AG14" s="6"/>
      <c r="AI14" s="26"/>
    </row>
    <row r="15" spans="1:35" x14ac:dyDescent="0.25">
      <c r="A15" s="3" t="s">
        <v>8</v>
      </c>
      <c r="K15" s="19">
        <f t="shared" si="6"/>
        <v>0</v>
      </c>
      <c r="Q15" s="16">
        <f t="shared" si="0"/>
        <v>0</v>
      </c>
      <c r="R15" s="6"/>
      <c r="T15" s="6"/>
      <c r="U15" s="6"/>
      <c r="W15" s="6"/>
      <c r="X15" s="6"/>
      <c r="Y15" s="6"/>
      <c r="Z15" s="6"/>
      <c r="AA15" s="6"/>
      <c r="AB15" s="6"/>
      <c r="AD15" s="6"/>
      <c r="AE15" s="6"/>
      <c r="AF15" s="6"/>
      <c r="AG15" s="6"/>
      <c r="AI15" s="26"/>
    </row>
    <row r="16" spans="1:35" x14ac:dyDescent="0.25">
      <c r="A16" s="4" t="s">
        <v>9</v>
      </c>
      <c r="B16" s="20">
        <v>19976.88</v>
      </c>
      <c r="C16" s="20"/>
      <c r="D16" s="17">
        <f>'Airport Funds'!I16</f>
        <v>47920.630000000005</v>
      </c>
      <c r="E16" s="20"/>
      <c r="F16" s="20">
        <v>8200</v>
      </c>
      <c r="G16" s="20"/>
      <c r="I16" s="20">
        <v>8747.7199999999993</v>
      </c>
      <c r="J16" s="20"/>
      <c r="K16" s="19">
        <f t="shared" si="6"/>
        <v>8747.7199999999993</v>
      </c>
      <c r="L16" s="20">
        <v>38.020000000000003</v>
      </c>
      <c r="M16" s="20"/>
      <c r="N16" s="20"/>
      <c r="O16" s="20"/>
      <c r="P16" s="20"/>
      <c r="Q16" s="16">
        <f t="shared" si="0"/>
        <v>0</v>
      </c>
      <c r="R16" s="35">
        <f>CDBG!H16</f>
        <v>0</v>
      </c>
      <c r="S16" s="52">
        <v>13041.71</v>
      </c>
      <c r="T16" s="20"/>
      <c r="U16" s="17">
        <f t="shared" ref="U16:U21" si="7">S16+T16</f>
        <v>13041.71</v>
      </c>
      <c r="V16" s="52">
        <v>14442.52</v>
      </c>
      <c r="W16" s="41"/>
      <c r="X16" s="6">
        <f t="shared" ref="X16:X21" si="8">V16+W16</f>
        <v>14442.52</v>
      </c>
      <c r="Y16" s="6">
        <f>'OEO-Weatherization'!H16</f>
        <v>145.21</v>
      </c>
      <c r="Z16" s="6">
        <f>'OEO-Other'!Y16</f>
        <v>52914.37</v>
      </c>
      <c r="AA16" s="6">
        <f>'Transportation Fund'!Y16</f>
        <v>77279.929999999993</v>
      </c>
      <c r="AB16" s="6">
        <f>'Special Purpose '!E16</f>
        <v>0</v>
      </c>
      <c r="AD16" s="20"/>
      <c r="AE16" s="20"/>
      <c r="AF16" s="20"/>
      <c r="AG16" s="6">
        <f t="shared" ref="AG16:AG21" si="9">AE16+AF16</f>
        <v>0</v>
      </c>
      <c r="AH16" s="6">
        <f>'911'!H16</f>
        <v>38098.370000000003</v>
      </c>
      <c r="AI16" s="26">
        <f>B16+C16+D16+E16+F16+G16+K16+L16+M16+N16+Q16+R16+U16+X16+Y16+Z16+AA16+AB16+AD16+AG16+AH16</f>
        <v>280805.36000000004</v>
      </c>
    </row>
    <row r="17" spans="1:35" x14ac:dyDescent="0.25">
      <c r="A17" s="4" t="s">
        <v>10</v>
      </c>
      <c r="B17" s="20"/>
      <c r="C17" s="20"/>
      <c r="D17" s="17">
        <f>'Airport Funds'!I17</f>
        <v>0</v>
      </c>
      <c r="E17" s="20"/>
      <c r="F17" s="20"/>
      <c r="G17" s="20"/>
      <c r="I17" s="20"/>
      <c r="J17" s="20"/>
      <c r="K17" s="19">
        <f t="shared" si="6"/>
        <v>0</v>
      </c>
      <c r="L17" s="20"/>
      <c r="M17" s="20"/>
      <c r="N17" s="20"/>
      <c r="O17" s="20"/>
      <c r="P17" s="20"/>
      <c r="Q17" s="16">
        <f t="shared" si="0"/>
        <v>0</v>
      </c>
      <c r="R17" s="35">
        <f>CDBG!H17</f>
        <v>0</v>
      </c>
      <c r="S17" s="52">
        <v>4983.54</v>
      </c>
      <c r="T17" s="20"/>
      <c r="U17" s="6">
        <f t="shared" si="7"/>
        <v>4983.54</v>
      </c>
      <c r="V17" s="52">
        <v>2245.3200000000002</v>
      </c>
      <c r="W17" s="20"/>
      <c r="X17" s="6">
        <f t="shared" si="8"/>
        <v>2245.3200000000002</v>
      </c>
      <c r="Y17" s="6">
        <f>'OEO-Weatherization'!H17</f>
        <v>0</v>
      </c>
      <c r="Z17" s="6">
        <f>'OEO-Other'!Y17</f>
        <v>16939.510000000002</v>
      </c>
      <c r="AA17" s="6">
        <f>'Transportation Fund'!Y17</f>
        <v>1276.1600000000001</v>
      </c>
      <c r="AB17" s="6">
        <f>'Special Purpose '!E17</f>
        <v>0</v>
      </c>
      <c r="AD17" s="20"/>
      <c r="AE17" s="20"/>
      <c r="AF17" s="20"/>
      <c r="AG17" s="6">
        <f t="shared" si="9"/>
        <v>0</v>
      </c>
      <c r="AH17" s="6">
        <f>'911'!H17</f>
        <v>21763.77</v>
      </c>
      <c r="AI17" s="26">
        <f t="shared" ref="AI17:AI21" si="10">B17+C17+D17+E17+F17+G17+K17+L17+M17+N17+Q17+R17+U17+X17+Y17+Z17+AA17+AB17+AD17+AG17+AH17</f>
        <v>47208.3</v>
      </c>
    </row>
    <row r="18" spans="1:35" x14ac:dyDescent="0.25">
      <c r="A18" s="4" t="s">
        <v>298</v>
      </c>
      <c r="B18" s="20"/>
      <c r="C18" s="20"/>
      <c r="D18" s="17">
        <f>'Airport Funds'!I18</f>
        <v>0</v>
      </c>
      <c r="E18" s="20"/>
      <c r="F18" s="20"/>
      <c r="G18" s="20"/>
      <c r="I18" s="20"/>
      <c r="J18" s="20"/>
      <c r="K18" s="19">
        <f t="shared" si="6"/>
        <v>0</v>
      </c>
      <c r="L18" s="20"/>
      <c r="M18" s="20"/>
      <c r="N18" s="20"/>
      <c r="O18" s="20"/>
      <c r="P18" s="20"/>
      <c r="Q18" s="16">
        <f t="shared" si="0"/>
        <v>0</v>
      </c>
      <c r="R18" s="35">
        <f>CDBG!H18</f>
        <v>0</v>
      </c>
      <c r="S18" s="52"/>
      <c r="T18" s="20"/>
      <c r="U18" s="6">
        <f t="shared" si="7"/>
        <v>0</v>
      </c>
      <c r="V18" s="52"/>
      <c r="W18" s="20"/>
      <c r="X18" s="6">
        <f t="shared" si="8"/>
        <v>0</v>
      </c>
      <c r="Y18" s="6">
        <f>'OEO-Weatherization'!H18</f>
        <v>0</v>
      </c>
      <c r="Z18" s="6">
        <f>'OEO-Other'!Y18</f>
        <v>0</v>
      </c>
      <c r="AA18" s="6">
        <f>'Transportation Fund'!Y18</f>
        <v>0</v>
      </c>
      <c r="AB18" s="6">
        <f>'Special Purpose '!E18</f>
        <v>0</v>
      </c>
      <c r="AD18" s="20"/>
      <c r="AE18" s="20"/>
      <c r="AF18" s="20"/>
      <c r="AG18" s="6">
        <f t="shared" si="9"/>
        <v>0</v>
      </c>
      <c r="AH18" s="6">
        <f>'911'!H18</f>
        <v>0</v>
      </c>
      <c r="AI18" s="26">
        <f t="shared" si="10"/>
        <v>0</v>
      </c>
    </row>
    <row r="19" spans="1:35" x14ac:dyDescent="0.25">
      <c r="A19" s="4" t="s">
        <v>11</v>
      </c>
      <c r="B19" s="20"/>
      <c r="C19" s="20"/>
      <c r="D19" s="17">
        <f>'Airport Funds'!I18</f>
        <v>0</v>
      </c>
      <c r="E19" s="20"/>
      <c r="F19" s="20"/>
      <c r="G19" s="20"/>
      <c r="I19" s="20"/>
      <c r="J19" s="20"/>
      <c r="K19" s="19">
        <f t="shared" si="6"/>
        <v>0</v>
      </c>
      <c r="L19" s="20"/>
      <c r="M19" s="20"/>
      <c r="N19" s="20"/>
      <c r="O19" s="20"/>
      <c r="P19" s="20"/>
      <c r="Q19" s="16">
        <f t="shared" si="0"/>
        <v>0</v>
      </c>
      <c r="R19" s="35">
        <v>0</v>
      </c>
      <c r="S19" s="52"/>
      <c r="T19" s="20"/>
      <c r="U19" s="6">
        <f t="shared" si="7"/>
        <v>0</v>
      </c>
      <c r="V19" s="52"/>
      <c r="W19" s="20"/>
      <c r="X19" s="6">
        <f t="shared" si="8"/>
        <v>0</v>
      </c>
      <c r="Y19" s="6">
        <v>0</v>
      </c>
      <c r="Z19" s="6">
        <v>0</v>
      </c>
      <c r="AA19" s="6">
        <v>0</v>
      </c>
      <c r="AB19" s="6">
        <f>'Special Purpose '!E18</f>
        <v>0</v>
      </c>
      <c r="AD19" s="20"/>
      <c r="AE19" s="20"/>
      <c r="AF19" s="20"/>
      <c r="AG19" s="6">
        <f t="shared" si="9"/>
        <v>0</v>
      </c>
      <c r="AH19" s="6">
        <f>'911'!H18</f>
        <v>0</v>
      </c>
      <c r="AI19" s="26">
        <f t="shared" si="10"/>
        <v>0</v>
      </c>
    </row>
    <row r="20" spans="1:35" x14ac:dyDescent="0.25">
      <c r="A20" s="4" t="s">
        <v>12</v>
      </c>
      <c r="B20" s="20"/>
      <c r="C20" s="20"/>
      <c r="D20" s="17">
        <f>'Airport Funds'!I19</f>
        <v>0</v>
      </c>
      <c r="E20" s="20"/>
      <c r="F20" s="20"/>
      <c r="G20" s="20"/>
      <c r="I20" s="20"/>
      <c r="J20" s="20"/>
      <c r="K20" s="19">
        <f t="shared" si="6"/>
        <v>0</v>
      </c>
      <c r="L20" s="20"/>
      <c r="M20" s="20"/>
      <c r="N20" s="20"/>
      <c r="O20" s="20"/>
      <c r="P20" s="20"/>
      <c r="Q20" s="16">
        <f t="shared" si="0"/>
        <v>0</v>
      </c>
      <c r="R20" s="35">
        <f>CDBG!H19</f>
        <v>0</v>
      </c>
      <c r="S20" s="52">
        <v>38585</v>
      </c>
      <c r="T20" s="20"/>
      <c r="U20" s="17">
        <f t="shared" si="7"/>
        <v>38585</v>
      </c>
      <c r="V20" s="52">
        <v>7527.39</v>
      </c>
      <c r="W20" s="20">
        <v>-6504</v>
      </c>
      <c r="X20" s="6">
        <f t="shared" si="8"/>
        <v>1023.3900000000003</v>
      </c>
      <c r="Y20" s="6">
        <f>'OEO-Weatherization'!H19</f>
        <v>33606</v>
      </c>
      <c r="Z20" s="6">
        <f>'OEO-Other'!Y19</f>
        <v>749378.57000000007</v>
      </c>
      <c r="AA20" s="6">
        <f>'Transportation Fund'!Y20</f>
        <v>0</v>
      </c>
      <c r="AB20" s="6">
        <f>'Special Purpose '!E19</f>
        <v>0</v>
      </c>
      <c r="AD20" s="20"/>
      <c r="AE20" s="20"/>
      <c r="AF20" s="20"/>
      <c r="AG20" s="6">
        <f t="shared" si="9"/>
        <v>0</v>
      </c>
      <c r="AH20" s="6">
        <f>'911'!H19</f>
        <v>340202.81</v>
      </c>
      <c r="AI20" s="26">
        <f t="shared" si="10"/>
        <v>1162795.77</v>
      </c>
    </row>
    <row r="21" spans="1:35" x14ac:dyDescent="0.25">
      <c r="A21" s="2" t="s">
        <v>13</v>
      </c>
      <c r="B21" s="6">
        <f>SUM(B16:B20)</f>
        <v>19976.88</v>
      </c>
      <c r="C21" s="6">
        <f>SUM(C16:C20)</f>
        <v>0</v>
      </c>
      <c r="D21" s="17">
        <f>'Airport Funds'!I20</f>
        <v>47920.630000000005</v>
      </c>
      <c r="E21" s="17">
        <f>SUM(E16:E20)</f>
        <v>0</v>
      </c>
      <c r="F21" s="17">
        <f>SUM(F16:F20)</f>
        <v>8200</v>
      </c>
      <c r="G21" s="17">
        <f>SUM(G16:G20)</f>
        <v>0</v>
      </c>
      <c r="I21" s="17">
        <f>SUM(I16:I20)</f>
        <v>8747.7199999999993</v>
      </c>
      <c r="J21" s="17">
        <f>SUM(J16:J20)</f>
        <v>0</v>
      </c>
      <c r="K21" s="19">
        <f t="shared" si="6"/>
        <v>8747.7199999999993</v>
      </c>
      <c r="L21" s="17">
        <f>SUM(L16:L20)</f>
        <v>38.020000000000003</v>
      </c>
      <c r="M21" s="6">
        <f>SUM(M16:M20)</f>
        <v>0</v>
      </c>
      <c r="N21" s="6">
        <f>SUM(N16:N20)</f>
        <v>0</v>
      </c>
      <c r="O21" s="6">
        <f>SUM(O16:O20)</f>
        <v>0</v>
      </c>
      <c r="P21" s="6">
        <f>SUM(P16:P20)</f>
        <v>0</v>
      </c>
      <c r="Q21" s="16">
        <f t="shared" si="0"/>
        <v>0</v>
      </c>
      <c r="R21" s="6">
        <f>SUM(R16:R20)</f>
        <v>0</v>
      </c>
      <c r="S21" s="48">
        <f>SUM(S16:S20)</f>
        <v>56610.25</v>
      </c>
      <c r="T21" s="6">
        <f>SUM(T16:T20)</f>
        <v>0</v>
      </c>
      <c r="U21" s="6">
        <f t="shared" si="7"/>
        <v>56610.25</v>
      </c>
      <c r="V21" s="48">
        <f>SUM(V16:V20)</f>
        <v>24215.23</v>
      </c>
      <c r="W21" s="6">
        <f>SUM(W16:W20)</f>
        <v>-6504</v>
      </c>
      <c r="X21" s="6">
        <f t="shared" si="8"/>
        <v>17711.23</v>
      </c>
      <c r="Y21" s="6">
        <f>'OEO-Weatherization'!H20</f>
        <v>33751.21</v>
      </c>
      <c r="Z21" s="6">
        <f>'OEO-Other'!Y20</f>
        <v>819232.45</v>
      </c>
      <c r="AA21" s="6">
        <f>'Transportation Fund'!Y21</f>
        <v>78556.09</v>
      </c>
      <c r="AB21" s="6">
        <f>'Special Purpose '!E20</f>
        <v>0</v>
      </c>
      <c r="AD21" s="6">
        <f>SUM(AD16:AD20)</f>
        <v>0</v>
      </c>
      <c r="AE21" s="6">
        <f>SUM(AE16:AE20)</f>
        <v>0</v>
      </c>
      <c r="AF21" s="6">
        <f>SUM(AF16:AF20)</f>
        <v>0</v>
      </c>
      <c r="AG21" s="6">
        <f t="shared" si="9"/>
        <v>0</v>
      </c>
      <c r="AH21" s="6">
        <f>'911'!H20</f>
        <v>400064.95</v>
      </c>
      <c r="AI21" s="26">
        <f t="shared" si="10"/>
        <v>1490809.43</v>
      </c>
    </row>
    <row r="22" spans="1:35" x14ac:dyDescent="0.25">
      <c r="K22" s="19">
        <f t="shared" si="6"/>
        <v>0</v>
      </c>
      <c r="Q22" s="16">
        <f t="shared" si="0"/>
        <v>0</v>
      </c>
      <c r="R22" s="6"/>
      <c r="T22" s="6"/>
      <c r="U22" s="6"/>
      <c r="W22" s="6"/>
      <c r="X22" s="6"/>
      <c r="Y22" s="6"/>
      <c r="Z22" s="6"/>
      <c r="AA22" s="6"/>
      <c r="AB22" s="6"/>
      <c r="AD22" s="6"/>
      <c r="AE22" s="6"/>
      <c r="AF22" s="6"/>
      <c r="AG22" s="6"/>
      <c r="AI22" s="26"/>
    </row>
    <row r="23" spans="1:35" x14ac:dyDescent="0.25">
      <c r="A23" s="3" t="s">
        <v>14</v>
      </c>
      <c r="K23" s="19">
        <f t="shared" si="6"/>
        <v>0</v>
      </c>
      <c r="Q23" s="16">
        <f t="shared" si="0"/>
        <v>0</v>
      </c>
      <c r="R23" s="6"/>
      <c r="T23" s="6"/>
      <c r="U23" s="6"/>
      <c r="W23" s="6"/>
      <c r="X23" s="6"/>
      <c r="Y23" s="6"/>
      <c r="Z23" s="6"/>
      <c r="AA23" s="6"/>
      <c r="AB23" s="6"/>
      <c r="AD23" s="6"/>
      <c r="AE23" s="6"/>
      <c r="AF23" s="6"/>
      <c r="AG23" s="6"/>
      <c r="AI23" s="26"/>
    </row>
    <row r="24" spans="1:35" x14ac:dyDescent="0.25">
      <c r="A24" s="91" t="s">
        <v>371</v>
      </c>
      <c r="B24" s="88"/>
      <c r="C24" s="88"/>
      <c r="E24" s="88"/>
      <c r="F24" s="88"/>
      <c r="G24" s="88"/>
      <c r="I24" s="88"/>
      <c r="J24" s="88"/>
      <c r="K24" s="19">
        <f t="shared" si="6"/>
        <v>0</v>
      </c>
      <c r="L24" s="88"/>
      <c r="M24" s="88"/>
      <c r="N24" s="88"/>
      <c r="O24" s="88"/>
      <c r="P24" s="88"/>
      <c r="Q24" s="16">
        <f t="shared" si="0"/>
        <v>0</v>
      </c>
      <c r="R24" s="35">
        <f>CDBG!H23</f>
        <v>0</v>
      </c>
      <c r="S24" s="86"/>
      <c r="T24" s="88"/>
      <c r="U24" s="6"/>
      <c r="V24" s="86"/>
      <c r="W24" s="88"/>
      <c r="X24" s="6"/>
      <c r="Y24" s="6"/>
      <c r="Z24" s="6"/>
      <c r="AA24" s="6"/>
      <c r="AB24" s="6"/>
      <c r="AD24" s="88"/>
      <c r="AE24" s="88"/>
      <c r="AF24" s="88"/>
      <c r="AG24" s="6"/>
      <c r="AI24" s="26"/>
    </row>
    <row r="25" spans="1:35" x14ac:dyDescent="0.25">
      <c r="A25" s="90" t="s">
        <v>333</v>
      </c>
      <c r="B25" s="88"/>
      <c r="C25" s="88"/>
      <c r="D25" s="17">
        <f>'Airport Funds'!I24</f>
        <v>0</v>
      </c>
      <c r="E25" s="88"/>
      <c r="F25" s="88"/>
      <c r="G25" s="88"/>
      <c r="I25" s="88"/>
      <c r="J25" s="88"/>
      <c r="K25" s="19">
        <f t="shared" si="6"/>
        <v>0</v>
      </c>
      <c r="L25" s="88"/>
      <c r="M25" s="88"/>
      <c r="N25" s="88"/>
      <c r="O25" s="88"/>
      <c r="P25" s="88"/>
      <c r="Q25" s="16">
        <f t="shared" si="0"/>
        <v>0</v>
      </c>
      <c r="R25" s="35"/>
      <c r="S25" s="86"/>
      <c r="T25" s="88"/>
      <c r="U25" s="6"/>
      <c r="V25" s="86"/>
      <c r="W25" s="88"/>
      <c r="X25" s="6">
        <f t="shared" ref="X25:X41" si="11">V25+W25</f>
        <v>0</v>
      </c>
      <c r="Y25" s="6">
        <f>'OEO-Weatherization'!H24</f>
        <v>0</v>
      </c>
      <c r="Z25" s="6">
        <f>'OEO-Other'!Y24</f>
        <v>0</v>
      </c>
      <c r="AA25" s="6">
        <f>'Transportation Fund'!Y25</f>
        <v>0</v>
      </c>
      <c r="AB25" s="6">
        <f>'Special Purpose '!E24</f>
        <v>0</v>
      </c>
      <c r="AD25" s="88"/>
      <c r="AE25" s="88"/>
      <c r="AF25" s="88"/>
      <c r="AG25" s="6">
        <f t="shared" ref="AG25:AG40" si="12">AE25+AF25</f>
        <v>0</v>
      </c>
      <c r="AH25" s="6">
        <f>'911'!H24</f>
        <v>0</v>
      </c>
      <c r="AI25" s="26">
        <f>B25+C25+D25+E25+F25+G25+K25+L25+M25+N25+Q25+R25+U25+X25+Y25+Z25+AA25+AB25+AD25+AG25+AH25</f>
        <v>0</v>
      </c>
    </row>
    <row r="26" spans="1:35" x14ac:dyDescent="0.25">
      <c r="A26" s="90" t="s">
        <v>31</v>
      </c>
      <c r="B26" s="88"/>
      <c r="C26" s="88"/>
      <c r="D26" s="17">
        <f>'Airport Funds'!I25</f>
        <v>0</v>
      </c>
      <c r="E26" s="88"/>
      <c r="F26" s="88"/>
      <c r="G26" s="88"/>
      <c r="I26" s="88"/>
      <c r="J26" s="88"/>
      <c r="K26" s="19">
        <f t="shared" si="6"/>
        <v>0</v>
      </c>
      <c r="L26" s="88"/>
      <c r="M26" s="88"/>
      <c r="N26" s="88"/>
      <c r="O26" s="88"/>
      <c r="P26" s="88"/>
      <c r="Q26" s="16">
        <f t="shared" si="0"/>
        <v>0</v>
      </c>
      <c r="R26" s="35"/>
      <c r="S26" s="86"/>
      <c r="T26" s="88"/>
      <c r="U26" s="6"/>
      <c r="V26" s="86"/>
      <c r="W26" s="88"/>
      <c r="X26" s="6">
        <f t="shared" si="11"/>
        <v>0</v>
      </c>
      <c r="Y26" s="6">
        <f>'OEO-Weatherization'!H25</f>
        <v>0</v>
      </c>
      <c r="Z26" s="6">
        <f>'OEO-Other'!Y25</f>
        <v>0</v>
      </c>
      <c r="AA26" s="6">
        <f>'Transportation Fund'!Y26</f>
        <v>0</v>
      </c>
      <c r="AB26" s="6">
        <f>'Special Purpose '!E25</f>
        <v>40127.230000000003</v>
      </c>
      <c r="AD26" s="88"/>
      <c r="AE26" s="88"/>
      <c r="AF26" s="88"/>
      <c r="AG26" s="6">
        <f t="shared" si="12"/>
        <v>0</v>
      </c>
      <c r="AH26" s="6">
        <f>'911'!H25</f>
        <v>0</v>
      </c>
      <c r="AI26" s="26">
        <f t="shared" ref="AI26:AI42" si="13">B26+C26+D26+E26+F26+G26+K26+L26+M26+N26+Q26+R26+U26+X26+Y26+Z26+AA26+AB26+AD26+AG26+AH26</f>
        <v>40127.230000000003</v>
      </c>
    </row>
    <row r="27" spans="1:35" x14ac:dyDescent="0.25">
      <c r="A27" s="90" t="s">
        <v>362</v>
      </c>
      <c r="B27" s="20">
        <v>1199595.3400000001</v>
      </c>
      <c r="C27" s="88"/>
      <c r="D27" s="17">
        <f>'Airport Funds'!I26</f>
        <v>0</v>
      </c>
      <c r="E27" s="88"/>
      <c r="F27" s="88"/>
      <c r="G27" s="88"/>
      <c r="I27" s="88"/>
      <c r="J27" s="88"/>
      <c r="K27" s="19">
        <f t="shared" si="6"/>
        <v>0</v>
      </c>
      <c r="L27" s="88"/>
      <c r="M27" s="88"/>
      <c r="N27" s="88"/>
      <c r="O27" s="88"/>
      <c r="P27" s="88"/>
      <c r="Q27" s="16">
        <f t="shared" si="0"/>
        <v>0</v>
      </c>
      <c r="R27" s="35"/>
      <c r="S27" s="86"/>
      <c r="T27" s="88"/>
      <c r="U27" s="6"/>
      <c r="V27" s="86"/>
      <c r="W27" s="88"/>
      <c r="X27" s="6">
        <f t="shared" si="11"/>
        <v>0</v>
      </c>
      <c r="Y27" s="6">
        <f>'OEO-Weatherization'!H26</f>
        <v>0</v>
      </c>
      <c r="Z27" s="6">
        <f>'OEO-Other'!Y26</f>
        <v>0</v>
      </c>
      <c r="AA27" s="6">
        <f>'Transportation Fund'!Y27</f>
        <v>0</v>
      </c>
      <c r="AB27" s="6">
        <f>'Special Purpose '!E26</f>
        <v>0</v>
      </c>
      <c r="AD27" s="88"/>
      <c r="AE27" s="88"/>
      <c r="AF27" s="88"/>
      <c r="AG27" s="6">
        <f t="shared" si="12"/>
        <v>0</v>
      </c>
      <c r="AH27" s="6">
        <f>'911'!H26</f>
        <v>0</v>
      </c>
      <c r="AI27" s="26">
        <f t="shared" si="13"/>
        <v>1199595.3400000001</v>
      </c>
    </row>
    <row r="28" spans="1:35" x14ac:dyDescent="0.25">
      <c r="A28" s="90" t="s">
        <v>335</v>
      </c>
      <c r="B28" s="88"/>
      <c r="C28" s="20">
        <v>21790.52</v>
      </c>
      <c r="D28" s="17">
        <f>'Airport Funds'!I27</f>
        <v>0</v>
      </c>
      <c r="E28" s="88"/>
      <c r="F28" s="88"/>
      <c r="G28" s="88"/>
      <c r="I28" s="88"/>
      <c r="J28" s="88"/>
      <c r="K28" s="19">
        <f t="shared" si="6"/>
        <v>0</v>
      </c>
      <c r="L28" s="88"/>
      <c r="M28" s="88"/>
      <c r="N28" s="88"/>
      <c r="O28" s="88"/>
      <c r="P28" s="88"/>
      <c r="Q28" s="16">
        <f t="shared" si="0"/>
        <v>0</v>
      </c>
      <c r="R28" s="35"/>
      <c r="S28" s="86"/>
      <c r="T28" s="88"/>
      <c r="U28" s="6"/>
      <c r="V28" s="86"/>
      <c r="W28" s="88"/>
      <c r="X28" s="6">
        <f t="shared" si="11"/>
        <v>0</v>
      </c>
      <c r="Y28" s="6">
        <f>'OEO-Weatherization'!H27</f>
        <v>0</v>
      </c>
      <c r="Z28" s="6">
        <f>'OEO-Other'!Y27</f>
        <v>0</v>
      </c>
      <c r="AA28" s="6">
        <f>'Transportation Fund'!Y28</f>
        <v>0</v>
      </c>
      <c r="AB28" s="6">
        <f>'Special Purpose '!E27</f>
        <v>0</v>
      </c>
      <c r="AD28" s="88"/>
      <c r="AE28" s="88"/>
      <c r="AF28" s="88"/>
      <c r="AG28" s="6">
        <f t="shared" si="12"/>
        <v>0</v>
      </c>
      <c r="AH28" s="6">
        <f>'911'!H27</f>
        <v>0</v>
      </c>
      <c r="AI28" s="26">
        <f t="shared" si="13"/>
        <v>21790.52</v>
      </c>
    </row>
    <row r="29" spans="1:35" x14ac:dyDescent="0.25">
      <c r="A29" s="90" t="s">
        <v>336</v>
      </c>
      <c r="B29" s="88"/>
      <c r="C29" s="88"/>
      <c r="D29" s="17">
        <f>'Airport Funds'!I28</f>
        <v>0</v>
      </c>
      <c r="E29" s="88"/>
      <c r="F29" s="20">
        <v>292279.27</v>
      </c>
      <c r="G29" s="88"/>
      <c r="I29" s="88"/>
      <c r="J29" s="88"/>
      <c r="K29" s="19">
        <f t="shared" si="6"/>
        <v>0</v>
      </c>
      <c r="L29" s="88"/>
      <c r="M29" s="88"/>
      <c r="N29" s="88"/>
      <c r="O29" s="88"/>
      <c r="P29" s="88"/>
      <c r="Q29" s="16">
        <f t="shared" si="0"/>
        <v>0</v>
      </c>
      <c r="R29" s="35"/>
      <c r="S29" s="86"/>
      <c r="T29" s="88"/>
      <c r="U29" s="6"/>
      <c r="V29" s="86"/>
      <c r="W29" s="88"/>
      <c r="X29" s="6">
        <f t="shared" si="11"/>
        <v>0</v>
      </c>
      <c r="Y29" s="6">
        <f>'OEO-Weatherization'!H28</f>
        <v>0</v>
      </c>
      <c r="Z29" s="6">
        <f>'OEO-Other'!Y28</f>
        <v>0</v>
      </c>
      <c r="AA29" s="6">
        <f>'Transportation Fund'!Y29</f>
        <v>0</v>
      </c>
      <c r="AB29" s="6">
        <f>'Special Purpose '!E28</f>
        <v>0</v>
      </c>
      <c r="AD29" s="88"/>
      <c r="AE29" s="88"/>
      <c r="AF29" s="88"/>
      <c r="AG29" s="6">
        <f t="shared" si="12"/>
        <v>0</v>
      </c>
      <c r="AH29" s="6">
        <f>'911'!H28</f>
        <v>0</v>
      </c>
      <c r="AI29" s="26">
        <f t="shared" si="13"/>
        <v>292279.27</v>
      </c>
    </row>
    <row r="30" spans="1:35" x14ac:dyDescent="0.25">
      <c r="A30" s="90" t="s">
        <v>337</v>
      </c>
      <c r="B30" s="88"/>
      <c r="C30" s="88"/>
      <c r="D30" s="17">
        <f>'Airport Funds'!I29</f>
        <v>0</v>
      </c>
      <c r="E30" s="88"/>
      <c r="F30" s="88"/>
      <c r="G30" s="88"/>
      <c r="I30" s="20">
        <v>289819.26</v>
      </c>
      <c r="J30" s="20"/>
      <c r="K30" s="19">
        <f t="shared" si="6"/>
        <v>289819.26</v>
      </c>
      <c r="L30" s="88"/>
      <c r="M30" s="88"/>
      <c r="N30" s="88"/>
      <c r="O30" s="88"/>
      <c r="P30" s="88"/>
      <c r="Q30" s="16">
        <f t="shared" si="0"/>
        <v>0</v>
      </c>
      <c r="R30" s="35"/>
      <c r="S30" s="86"/>
      <c r="T30" s="88"/>
      <c r="U30" s="6"/>
      <c r="V30" s="86"/>
      <c r="W30" s="88"/>
      <c r="X30" s="6">
        <f t="shared" si="11"/>
        <v>0</v>
      </c>
      <c r="Y30" s="6">
        <f>'OEO-Weatherization'!H29</f>
        <v>0</v>
      </c>
      <c r="Z30" s="6">
        <f>'OEO-Other'!Y29</f>
        <v>0</v>
      </c>
      <c r="AA30" s="6">
        <f>'Transportation Fund'!Y30</f>
        <v>0</v>
      </c>
      <c r="AB30" s="6">
        <f>'Special Purpose '!E29</f>
        <v>0</v>
      </c>
      <c r="AD30" s="88"/>
      <c r="AE30" s="88"/>
      <c r="AF30" s="88"/>
      <c r="AG30" s="6">
        <f t="shared" si="12"/>
        <v>0</v>
      </c>
      <c r="AH30" s="6">
        <f>'911'!H29</f>
        <v>0</v>
      </c>
      <c r="AI30" s="26">
        <f t="shared" si="13"/>
        <v>289819.26</v>
      </c>
    </row>
    <row r="31" spans="1:35" x14ac:dyDescent="0.25">
      <c r="A31" s="90" t="s">
        <v>338</v>
      </c>
      <c r="B31" s="88"/>
      <c r="C31" s="88"/>
      <c r="D31" s="17">
        <f>'Airport Funds'!I30</f>
        <v>0</v>
      </c>
      <c r="E31" s="88"/>
      <c r="F31" s="88"/>
      <c r="G31" s="88"/>
      <c r="I31" s="88"/>
      <c r="J31" s="88"/>
      <c r="K31" s="19">
        <f t="shared" si="6"/>
        <v>0</v>
      </c>
      <c r="L31" s="20">
        <v>445107.69</v>
      </c>
      <c r="M31" s="88"/>
      <c r="N31" s="88"/>
      <c r="O31" s="88"/>
      <c r="P31" s="88"/>
      <c r="Q31" s="16">
        <f t="shared" si="0"/>
        <v>0</v>
      </c>
      <c r="R31" s="35"/>
      <c r="S31" s="86"/>
      <c r="T31" s="88"/>
      <c r="U31" s="6"/>
      <c r="V31" s="86"/>
      <c r="W31" s="88"/>
      <c r="X31" s="6">
        <f t="shared" si="11"/>
        <v>0</v>
      </c>
      <c r="Y31" s="6">
        <f>'OEO-Weatherization'!H30</f>
        <v>0</v>
      </c>
      <c r="Z31" s="6">
        <f>'OEO-Other'!Y30</f>
        <v>0</v>
      </c>
      <c r="AA31" s="6">
        <f>'Transportation Fund'!Y31</f>
        <v>0</v>
      </c>
      <c r="AB31" s="6">
        <f>'Special Purpose '!E30</f>
        <v>0</v>
      </c>
      <c r="AD31" s="88"/>
      <c r="AE31" s="88"/>
      <c r="AF31" s="88"/>
      <c r="AG31" s="6">
        <f t="shared" si="12"/>
        <v>0</v>
      </c>
      <c r="AH31" s="6">
        <f>'911'!H30</f>
        <v>0</v>
      </c>
      <c r="AI31" s="26">
        <f t="shared" si="13"/>
        <v>445107.69</v>
      </c>
    </row>
    <row r="32" spans="1:35" x14ac:dyDescent="0.25">
      <c r="A32" s="90" t="s">
        <v>363</v>
      </c>
      <c r="B32" s="88"/>
      <c r="C32" s="88"/>
      <c r="D32" s="17">
        <f>'Airport Funds'!I31</f>
        <v>0</v>
      </c>
      <c r="E32" s="88"/>
      <c r="F32" s="88"/>
      <c r="G32" s="88"/>
      <c r="I32" s="88"/>
      <c r="J32" s="88"/>
      <c r="K32" s="19">
        <f t="shared" si="6"/>
        <v>0</v>
      </c>
      <c r="L32" s="88"/>
      <c r="M32" s="88"/>
      <c r="N32" s="20">
        <v>28363.919999999998</v>
      </c>
      <c r="O32" s="20">
        <v>27947.52</v>
      </c>
      <c r="P32" s="20"/>
      <c r="Q32" s="16">
        <f t="shared" si="0"/>
        <v>27947.52</v>
      </c>
      <c r="R32" s="35"/>
      <c r="S32" s="86"/>
      <c r="T32" s="88"/>
      <c r="U32" s="6"/>
      <c r="V32" s="86"/>
      <c r="W32" s="88"/>
      <c r="X32" s="6">
        <f t="shared" si="11"/>
        <v>0</v>
      </c>
      <c r="Y32" s="6">
        <f>'OEO-Weatherization'!H31</f>
        <v>0</v>
      </c>
      <c r="Z32" s="6">
        <f>'OEO-Other'!Y31</f>
        <v>0</v>
      </c>
      <c r="AA32" s="6">
        <f>'Transportation Fund'!Y32</f>
        <v>0</v>
      </c>
      <c r="AB32" s="6">
        <f>'Special Purpose '!E31</f>
        <v>0</v>
      </c>
      <c r="AD32" s="88"/>
      <c r="AE32" s="88"/>
      <c r="AF32" s="88"/>
      <c r="AG32" s="6">
        <f t="shared" si="12"/>
        <v>0</v>
      </c>
      <c r="AH32" s="6">
        <f>'911'!H31</f>
        <v>0</v>
      </c>
      <c r="AI32" s="26">
        <f t="shared" si="13"/>
        <v>56311.44</v>
      </c>
    </row>
    <row r="33" spans="1:35" x14ac:dyDescent="0.25">
      <c r="A33" s="90" t="s">
        <v>340</v>
      </c>
      <c r="B33" s="88"/>
      <c r="C33" s="88"/>
      <c r="D33" s="17">
        <f>'Airport Funds'!I32</f>
        <v>0</v>
      </c>
      <c r="E33" s="88"/>
      <c r="F33" s="88"/>
      <c r="G33" s="88"/>
      <c r="I33" s="88"/>
      <c r="J33" s="88"/>
      <c r="K33" s="19">
        <f t="shared" si="6"/>
        <v>0</v>
      </c>
      <c r="L33" s="88"/>
      <c r="M33" s="88"/>
      <c r="N33" s="88"/>
      <c r="O33" s="88"/>
      <c r="P33" s="88"/>
      <c r="Q33" s="16">
        <f t="shared" si="0"/>
        <v>0</v>
      </c>
      <c r="R33" s="35"/>
      <c r="S33" s="86"/>
      <c r="T33" s="88"/>
      <c r="U33" s="6"/>
      <c r="V33" s="86"/>
      <c r="W33" s="88"/>
      <c r="X33" s="6">
        <f t="shared" si="11"/>
        <v>0</v>
      </c>
      <c r="Y33" s="6">
        <f>'OEO-Weatherization'!H32</f>
        <v>0</v>
      </c>
      <c r="Z33" s="6">
        <f>'OEO-Other'!Y32</f>
        <v>0</v>
      </c>
      <c r="AA33" s="6">
        <f>'Transportation Fund'!Y33</f>
        <v>0</v>
      </c>
      <c r="AB33" s="6">
        <f>'Special Purpose '!E32</f>
        <v>124697.59000000001</v>
      </c>
      <c r="AD33" s="88"/>
      <c r="AE33" s="88"/>
      <c r="AF33" s="88"/>
      <c r="AG33" s="6">
        <f t="shared" si="12"/>
        <v>0</v>
      </c>
      <c r="AH33" s="6">
        <f>'911'!H32</f>
        <v>0</v>
      </c>
      <c r="AI33" s="26">
        <f t="shared" si="13"/>
        <v>124697.59000000001</v>
      </c>
    </row>
    <row r="34" spans="1:35" x14ac:dyDescent="0.25">
      <c r="A34" s="90" t="s">
        <v>364</v>
      </c>
      <c r="B34" s="88"/>
      <c r="C34" s="88"/>
      <c r="D34" s="17">
        <f>'Airport Funds'!I33</f>
        <v>0</v>
      </c>
      <c r="E34" s="88"/>
      <c r="F34" s="88"/>
      <c r="G34" s="88"/>
      <c r="I34" s="88"/>
      <c r="J34" s="88"/>
      <c r="K34" s="19">
        <f t="shared" si="6"/>
        <v>0</v>
      </c>
      <c r="L34" s="88"/>
      <c r="M34" s="88"/>
      <c r="N34" s="88"/>
      <c r="O34" s="88"/>
      <c r="P34" s="88"/>
      <c r="Q34" s="16">
        <f t="shared" si="0"/>
        <v>0</v>
      </c>
      <c r="R34" s="35"/>
      <c r="S34" s="86"/>
      <c r="T34" s="88"/>
      <c r="U34" s="6"/>
      <c r="V34" s="86"/>
      <c r="W34" s="88"/>
      <c r="X34" s="6">
        <f t="shared" si="11"/>
        <v>0</v>
      </c>
      <c r="Y34" s="6">
        <f>'OEO-Weatherization'!H33</f>
        <v>0</v>
      </c>
      <c r="Z34" s="6">
        <f>'OEO-Other'!Y33</f>
        <v>0</v>
      </c>
      <c r="AA34" s="6">
        <f>'Transportation Fund'!Y34</f>
        <v>0</v>
      </c>
      <c r="AB34" s="6">
        <f>'Special Purpose '!E33</f>
        <v>0</v>
      </c>
      <c r="AD34" s="88"/>
      <c r="AE34" s="20">
        <v>693112.67</v>
      </c>
      <c r="AF34" s="20">
        <v>60570</v>
      </c>
      <c r="AG34" s="6">
        <f t="shared" si="12"/>
        <v>753682.67</v>
      </c>
      <c r="AH34" s="6">
        <f>'911'!H33</f>
        <v>0</v>
      </c>
      <c r="AI34" s="26">
        <f t="shared" si="13"/>
        <v>753682.67</v>
      </c>
    </row>
    <row r="35" spans="1:35" x14ac:dyDescent="0.25">
      <c r="A35" s="90" t="s">
        <v>365</v>
      </c>
      <c r="B35" s="88"/>
      <c r="C35" s="88"/>
      <c r="D35" s="17">
        <f>'Airport Funds'!I34</f>
        <v>0</v>
      </c>
      <c r="E35" s="20">
        <v>66855.8</v>
      </c>
      <c r="F35" s="88"/>
      <c r="G35" s="88">
        <v>19769.52</v>
      </c>
      <c r="I35" s="88"/>
      <c r="J35" s="88"/>
      <c r="K35" s="19">
        <f t="shared" si="6"/>
        <v>0</v>
      </c>
      <c r="L35" s="88">
        <v>-0.02</v>
      </c>
      <c r="M35" s="20">
        <v>8576.7800000000007</v>
      </c>
      <c r="N35" s="88"/>
      <c r="O35" s="88"/>
      <c r="P35" s="88"/>
      <c r="Q35" s="16">
        <f t="shared" si="0"/>
        <v>0</v>
      </c>
      <c r="R35" s="35"/>
      <c r="S35" s="86"/>
      <c r="T35" s="88"/>
      <c r="U35" s="6"/>
      <c r="V35" s="86"/>
      <c r="W35" s="88"/>
      <c r="X35" s="6">
        <f t="shared" si="11"/>
        <v>0</v>
      </c>
      <c r="Y35" s="6">
        <f>'OEO-Weatherization'!H34</f>
        <v>0</v>
      </c>
      <c r="Z35" s="6">
        <f>'OEO-Other'!Y34</f>
        <v>0</v>
      </c>
      <c r="AA35" s="6">
        <f>'Transportation Fund'!Y35</f>
        <v>0</v>
      </c>
      <c r="AB35" s="6">
        <f>'Special Purpose '!E34</f>
        <v>0</v>
      </c>
      <c r="AD35" s="20">
        <v>10785.43</v>
      </c>
      <c r="AE35" s="88"/>
      <c r="AF35" s="88"/>
      <c r="AG35" s="6">
        <f t="shared" si="12"/>
        <v>0</v>
      </c>
      <c r="AH35" s="6">
        <f>'911'!H34</f>
        <v>26692.52</v>
      </c>
      <c r="AI35" s="26">
        <f t="shared" si="13"/>
        <v>132680.03</v>
      </c>
    </row>
    <row r="36" spans="1:35" x14ac:dyDescent="0.25">
      <c r="A36" s="91" t="s">
        <v>366</v>
      </c>
      <c r="B36" s="88"/>
      <c r="C36" s="88"/>
      <c r="D36" s="17">
        <f>'Airport Funds'!I35</f>
        <v>0</v>
      </c>
      <c r="E36" s="88"/>
      <c r="F36" s="88"/>
      <c r="G36" s="88"/>
      <c r="I36" s="88"/>
      <c r="J36" s="88"/>
      <c r="K36" s="19">
        <f t="shared" si="6"/>
        <v>0</v>
      </c>
      <c r="L36" s="88"/>
      <c r="M36" s="88"/>
      <c r="N36" s="88"/>
      <c r="O36" s="88"/>
      <c r="P36" s="88"/>
      <c r="Q36" s="16">
        <f t="shared" si="0"/>
        <v>0</v>
      </c>
      <c r="R36" s="35">
        <f>CDBG!H24</f>
        <v>0</v>
      </c>
      <c r="S36" s="86"/>
      <c r="T36" s="88"/>
      <c r="U36" s="6">
        <f>S36+T36</f>
        <v>0</v>
      </c>
      <c r="V36" s="86"/>
      <c r="W36" s="88"/>
      <c r="X36" s="6">
        <f>V36+W36</f>
        <v>0</v>
      </c>
      <c r="Y36" s="6">
        <f>'OEO-Weatherization'!H35</f>
        <v>0</v>
      </c>
      <c r="Z36" s="6">
        <f>'OEO-Other'!Y35</f>
        <v>0</v>
      </c>
      <c r="AA36" s="6">
        <f>'Transportation Fund'!Y36</f>
        <v>0</v>
      </c>
      <c r="AB36" s="6">
        <f>'Special Purpose '!E35</f>
        <v>0</v>
      </c>
      <c r="AD36" s="88"/>
      <c r="AE36" s="88"/>
      <c r="AF36" s="88"/>
      <c r="AG36" s="6">
        <f t="shared" si="12"/>
        <v>0</v>
      </c>
      <c r="AH36" s="6">
        <f>'911'!H35</f>
        <v>0</v>
      </c>
      <c r="AI36" s="26">
        <f t="shared" si="13"/>
        <v>0</v>
      </c>
    </row>
    <row r="37" spans="1:35" x14ac:dyDescent="0.25">
      <c r="A37" s="90" t="s">
        <v>203</v>
      </c>
      <c r="B37" s="88"/>
      <c r="C37" s="88"/>
      <c r="D37" s="17">
        <f>'Airport Funds'!I36</f>
        <v>0</v>
      </c>
      <c r="E37" s="88"/>
      <c r="F37" s="88"/>
      <c r="G37" s="88"/>
      <c r="I37" s="88"/>
      <c r="J37" s="88"/>
      <c r="K37" s="19">
        <f t="shared" si="6"/>
        <v>0</v>
      </c>
      <c r="L37" s="88"/>
      <c r="M37" s="88"/>
      <c r="N37" s="88"/>
      <c r="O37" s="88"/>
      <c r="P37" s="88"/>
      <c r="Q37" s="16">
        <f t="shared" si="0"/>
        <v>0</v>
      </c>
      <c r="R37" s="35"/>
      <c r="S37" s="86"/>
      <c r="T37" s="88"/>
      <c r="U37" s="6">
        <f t="shared" ref="U37:U40" si="14">S37+T37</f>
        <v>0</v>
      </c>
      <c r="V37" s="86"/>
      <c r="W37" s="88"/>
      <c r="X37" s="6">
        <f t="shared" si="11"/>
        <v>0</v>
      </c>
      <c r="Y37" s="6">
        <f>'OEO-Weatherization'!H36</f>
        <v>0</v>
      </c>
      <c r="Z37" s="6">
        <f>'OEO-Other'!Y36</f>
        <v>0</v>
      </c>
      <c r="AA37" s="6">
        <f>'Transportation Fund'!Y37</f>
        <v>0</v>
      </c>
      <c r="AB37" s="6">
        <f>'Special Purpose '!E36</f>
        <v>0</v>
      </c>
      <c r="AD37" s="88"/>
      <c r="AE37" s="88"/>
      <c r="AF37" s="88"/>
      <c r="AG37" s="6">
        <f t="shared" si="12"/>
        <v>0</v>
      </c>
      <c r="AH37" s="6">
        <f>'911'!H36</f>
        <v>0</v>
      </c>
      <c r="AI37" s="26">
        <f t="shared" si="13"/>
        <v>0</v>
      </c>
    </row>
    <row r="38" spans="1:35" x14ac:dyDescent="0.25">
      <c r="A38" s="90" t="s">
        <v>367</v>
      </c>
      <c r="B38" s="88"/>
      <c r="C38" s="88"/>
      <c r="D38" s="17">
        <f>'Airport Funds'!I37</f>
        <v>0</v>
      </c>
      <c r="E38" s="88"/>
      <c r="F38" s="88"/>
      <c r="G38" s="88"/>
      <c r="I38" s="88"/>
      <c r="J38" s="88"/>
      <c r="K38" s="19">
        <f t="shared" si="6"/>
        <v>0</v>
      </c>
      <c r="L38" s="88"/>
      <c r="M38" s="88"/>
      <c r="N38" s="88"/>
      <c r="O38" s="88"/>
      <c r="P38" s="88"/>
      <c r="Q38" s="16">
        <f t="shared" si="0"/>
        <v>0</v>
      </c>
      <c r="R38" s="35"/>
      <c r="S38" s="86"/>
      <c r="T38" s="88"/>
      <c r="U38" s="6">
        <f t="shared" si="14"/>
        <v>0</v>
      </c>
      <c r="V38" s="86"/>
      <c r="W38" s="88"/>
      <c r="X38" s="6">
        <f t="shared" si="11"/>
        <v>0</v>
      </c>
      <c r="Y38" s="6">
        <f>'OEO-Weatherization'!H37</f>
        <v>0</v>
      </c>
      <c r="Z38" s="6">
        <f>'OEO-Other'!Y37</f>
        <v>0</v>
      </c>
      <c r="AA38" s="6">
        <f>'Transportation Fund'!Y38</f>
        <v>0</v>
      </c>
      <c r="AB38" s="6">
        <f>'Special Purpose '!E37</f>
        <v>0</v>
      </c>
      <c r="AD38" s="88"/>
      <c r="AE38" s="88"/>
      <c r="AF38" s="88"/>
      <c r="AG38" s="6">
        <f t="shared" si="12"/>
        <v>0</v>
      </c>
      <c r="AH38" s="6">
        <f>'911'!H37</f>
        <v>0</v>
      </c>
      <c r="AI38" s="26">
        <f t="shared" si="13"/>
        <v>0</v>
      </c>
    </row>
    <row r="39" spans="1:35" x14ac:dyDescent="0.25">
      <c r="A39" s="90" t="s">
        <v>368</v>
      </c>
      <c r="B39" s="88"/>
      <c r="C39" s="88"/>
      <c r="D39" s="17">
        <f>'Airport Funds'!I38</f>
        <v>8688.4699999999939</v>
      </c>
      <c r="E39" s="88"/>
      <c r="F39" s="88"/>
      <c r="G39" s="88"/>
      <c r="I39" s="88"/>
      <c r="J39" s="88"/>
      <c r="K39" s="19">
        <f t="shared" si="6"/>
        <v>0</v>
      </c>
      <c r="L39" s="88"/>
      <c r="M39" s="88"/>
      <c r="N39" s="88"/>
      <c r="O39" s="88"/>
      <c r="P39" s="88"/>
      <c r="Q39" s="16">
        <f t="shared" si="0"/>
        <v>0</v>
      </c>
      <c r="R39" s="35"/>
      <c r="S39" s="86"/>
      <c r="T39" s="88"/>
      <c r="U39" s="6">
        <f t="shared" si="14"/>
        <v>0</v>
      </c>
      <c r="V39" s="86"/>
      <c r="W39" s="88"/>
      <c r="X39" s="6">
        <f t="shared" si="11"/>
        <v>0</v>
      </c>
      <c r="Y39" s="6">
        <f>'OEO-Weatherization'!H38</f>
        <v>0</v>
      </c>
      <c r="Z39" s="6">
        <f>'OEO-Other'!Y38</f>
        <v>0</v>
      </c>
      <c r="AA39" s="6">
        <f>'Transportation Fund'!Y39</f>
        <v>0</v>
      </c>
      <c r="AB39" s="6">
        <f>'Special Purpose '!E38</f>
        <v>0</v>
      </c>
      <c r="AD39" s="88"/>
      <c r="AE39" s="88"/>
      <c r="AF39" s="88"/>
      <c r="AG39" s="6">
        <f t="shared" si="12"/>
        <v>0</v>
      </c>
      <c r="AH39" s="6">
        <f>'911'!H38</f>
        <v>0</v>
      </c>
      <c r="AI39" s="26">
        <f t="shared" si="13"/>
        <v>8688.4699999999939</v>
      </c>
    </row>
    <row r="40" spans="1:35" x14ac:dyDescent="0.25">
      <c r="A40" s="90" t="s">
        <v>369</v>
      </c>
      <c r="B40" s="88"/>
      <c r="C40" s="88"/>
      <c r="D40" s="17">
        <f>'Airport Funds'!I39</f>
        <v>0</v>
      </c>
      <c r="E40" s="88"/>
      <c r="F40" s="88"/>
      <c r="G40" s="20">
        <f>19769.52-19769.52</f>
        <v>0</v>
      </c>
      <c r="I40" s="88"/>
      <c r="J40" s="88"/>
      <c r="K40" s="19">
        <f t="shared" si="6"/>
        <v>0</v>
      </c>
      <c r="L40" s="88"/>
      <c r="M40" s="88"/>
      <c r="N40" s="88"/>
      <c r="O40" s="88"/>
      <c r="P40" s="88"/>
      <c r="Q40" s="16">
        <f t="shared" si="0"/>
        <v>0</v>
      </c>
      <c r="R40" s="35"/>
      <c r="S40" s="52">
        <v>0.06</v>
      </c>
      <c r="T40" s="20"/>
      <c r="U40" s="6">
        <f t="shared" si="14"/>
        <v>0.06</v>
      </c>
      <c r="V40" s="52">
        <v>-6505.09</v>
      </c>
      <c r="W40" s="20">
        <v>6504</v>
      </c>
      <c r="X40" s="6">
        <f t="shared" si="11"/>
        <v>-1.0900000000001455</v>
      </c>
      <c r="Y40" s="6">
        <f>'OEO-Weatherization'!H39</f>
        <v>-0.2999999999992724</v>
      </c>
      <c r="Z40" s="6">
        <f>'OEO-Other'!Y39</f>
        <v>17366.859999999997</v>
      </c>
      <c r="AA40" s="6">
        <f>'Transportation Fund'!Y40</f>
        <v>-0.11999999999898137</v>
      </c>
      <c r="AB40" s="6">
        <f>'Special Purpose '!E39</f>
        <v>0</v>
      </c>
      <c r="AD40" s="88"/>
      <c r="AE40" s="88"/>
      <c r="AF40" s="88"/>
      <c r="AG40" s="6">
        <f t="shared" si="12"/>
        <v>0</v>
      </c>
      <c r="AH40" s="6">
        <f>'911'!H39</f>
        <v>0</v>
      </c>
      <c r="AI40" s="26">
        <f t="shared" si="13"/>
        <v>17365.41</v>
      </c>
    </row>
    <row r="41" spans="1:35" ht="15" customHeight="1" x14ac:dyDescent="0.25">
      <c r="A41" s="91" t="s">
        <v>17</v>
      </c>
      <c r="B41" s="88"/>
      <c r="C41" s="88"/>
      <c r="D41" s="17">
        <f>'Airport Funds'!I40</f>
        <v>0</v>
      </c>
      <c r="E41" s="88"/>
      <c r="F41" s="88"/>
      <c r="G41" s="88"/>
      <c r="I41" s="88"/>
      <c r="J41" s="88"/>
      <c r="K41" s="19">
        <f t="shared" si="6"/>
        <v>0</v>
      </c>
      <c r="L41" s="88"/>
      <c r="M41" s="88"/>
      <c r="N41" s="88"/>
      <c r="O41" s="88"/>
      <c r="P41" s="88"/>
      <c r="Q41" s="16">
        <f t="shared" si="0"/>
        <v>0</v>
      </c>
      <c r="R41" s="35">
        <f>CDBG!H25</f>
        <v>-0.14999999999997726</v>
      </c>
      <c r="S41" s="86"/>
      <c r="T41" s="88"/>
      <c r="U41" s="6">
        <f>S41+T41</f>
        <v>0</v>
      </c>
      <c r="V41" s="86"/>
      <c r="W41" s="88"/>
      <c r="X41" s="6">
        <f t="shared" si="11"/>
        <v>0</v>
      </c>
      <c r="Y41" s="6">
        <f>'OEO-Weatherization'!H40</f>
        <v>0</v>
      </c>
      <c r="Z41" s="6">
        <f>'OEO-Other'!Y40</f>
        <v>0</v>
      </c>
      <c r="AA41" s="6">
        <f>'Transportation Fund'!Y41</f>
        <v>0</v>
      </c>
      <c r="AB41" s="6">
        <f>'Special Purpose '!E40</f>
        <v>0</v>
      </c>
      <c r="AD41" s="88"/>
      <c r="AE41" s="88"/>
      <c r="AF41" s="88"/>
      <c r="AG41" s="6">
        <f>AE41+AF41</f>
        <v>0</v>
      </c>
      <c r="AH41" s="6">
        <f>'911'!H40</f>
        <v>0</v>
      </c>
      <c r="AI41" s="26">
        <f t="shared" si="13"/>
        <v>-0.14999999999997726</v>
      </c>
    </row>
    <row r="42" spans="1:35" x14ac:dyDescent="0.25">
      <c r="A42" s="2" t="s">
        <v>18</v>
      </c>
      <c r="B42" s="6">
        <f>SUM(B24:B41)</f>
        <v>1199595.3400000001</v>
      </c>
      <c r="C42" s="6">
        <f>SUM(C24:C41)</f>
        <v>21790.52</v>
      </c>
      <c r="D42" s="17">
        <f>'Airport Funds'!I41</f>
        <v>8688.4699999999939</v>
      </c>
      <c r="E42" s="17">
        <f>SUM(E24:E41)</f>
        <v>66855.8</v>
      </c>
      <c r="F42" s="17">
        <f>SUM(F24:F41)</f>
        <v>292279.27</v>
      </c>
      <c r="G42" s="17">
        <f>SUM(G24:G41)</f>
        <v>19769.52</v>
      </c>
      <c r="I42" s="17">
        <f>SUM(I24:I41)</f>
        <v>289819.26</v>
      </c>
      <c r="J42" s="17">
        <f>SUM(J24:J41)</f>
        <v>0</v>
      </c>
      <c r="K42" s="19">
        <f t="shared" si="6"/>
        <v>289819.26</v>
      </c>
      <c r="L42" s="17">
        <f>SUM(L24:L41)</f>
        <v>445107.67</v>
      </c>
      <c r="M42" s="6">
        <f>SUM(M24:M41)</f>
        <v>8576.7800000000007</v>
      </c>
      <c r="N42" s="6">
        <f>SUM(N24:N41)</f>
        <v>28363.919999999998</v>
      </c>
      <c r="O42" s="6">
        <f>SUM(O24:O41)</f>
        <v>27947.52</v>
      </c>
      <c r="P42" s="6">
        <f>SUM(P24:P41)</f>
        <v>0</v>
      </c>
      <c r="Q42" s="16">
        <f t="shared" si="0"/>
        <v>27947.52</v>
      </c>
      <c r="R42" s="6">
        <f>CDBG!H26</f>
        <v>-0.14999999999997726</v>
      </c>
      <c r="S42" s="48">
        <f>SUM(S24:S41)</f>
        <v>0.06</v>
      </c>
      <c r="T42" s="48">
        <f>SUM(T24:T41)</f>
        <v>0</v>
      </c>
      <c r="U42" s="6">
        <f>S42+T42</f>
        <v>0.06</v>
      </c>
      <c r="V42" s="48">
        <f>SUM(V24:V41)</f>
        <v>-6505.09</v>
      </c>
      <c r="W42" s="6">
        <f>SUM(W24:W41)</f>
        <v>6504</v>
      </c>
      <c r="X42" s="6">
        <f>V42+W42</f>
        <v>-1.0900000000001455</v>
      </c>
      <c r="Y42" s="6">
        <f>'OEO-Weatherization'!H41</f>
        <v>-0.2999999999992724</v>
      </c>
      <c r="Z42" s="6">
        <f>'OEO-Other'!Y41</f>
        <v>17366.859999999997</v>
      </c>
      <c r="AA42" s="6">
        <f>'Transportation Fund'!Y42</f>
        <v>-0.11999999999898137</v>
      </c>
      <c r="AB42" s="6">
        <f>'Special Purpose '!E41</f>
        <v>164824.82</v>
      </c>
      <c r="AD42" s="6">
        <f>SUM(AD24:AD41)</f>
        <v>10785.43</v>
      </c>
      <c r="AE42" s="6">
        <f>SUM(AE24:AE41)</f>
        <v>693112.67</v>
      </c>
      <c r="AF42" s="6">
        <f>SUM(AF24:AF41)</f>
        <v>60570</v>
      </c>
      <c r="AG42" s="6">
        <f>AE42+AF42</f>
        <v>753682.67</v>
      </c>
      <c r="AH42" s="6">
        <f>'911'!H41</f>
        <v>26692.52</v>
      </c>
      <c r="AI42" s="26">
        <f t="shared" si="13"/>
        <v>3382144.77</v>
      </c>
    </row>
    <row r="43" spans="1:35" x14ac:dyDescent="0.25">
      <c r="K43" s="19">
        <f t="shared" si="6"/>
        <v>0</v>
      </c>
      <c r="Q43" s="16">
        <f t="shared" si="0"/>
        <v>0</v>
      </c>
      <c r="R43" s="6"/>
      <c r="T43" s="6"/>
      <c r="U43" s="6"/>
      <c r="W43" s="6"/>
      <c r="X43" s="6"/>
      <c r="Y43" s="6"/>
      <c r="Z43" s="6"/>
      <c r="AA43" s="6"/>
      <c r="AB43" s="6"/>
      <c r="AD43" s="6"/>
      <c r="AE43" s="6"/>
      <c r="AF43" s="6"/>
      <c r="AG43" s="6"/>
      <c r="AI43" s="26"/>
    </row>
    <row r="44" spans="1:35" x14ac:dyDescent="0.25">
      <c r="A44" s="2" t="s">
        <v>19</v>
      </c>
      <c r="B44" s="6">
        <f>B21+B42</f>
        <v>1219572.22</v>
      </c>
      <c r="C44" s="6">
        <f>C21+C42</f>
        <v>21790.52</v>
      </c>
      <c r="D44" s="17">
        <f>'Airport Funds'!I43</f>
        <v>56609.099999999984</v>
      </c>
      <c r="E44" s="17">
        <f>E21+E42</f>
        <v>66855.8</v>
      </c>
      <c r="F44" s="17">
        <f>F21+F42</f>
        <v>300479.27</v>
      </c>
      <c r="G44" s="17">
        <f>G21+G42</f>
        <v>19769.52</v>
      </c>
      <c r="I44" s="17">
        <f t="shared" ref="I44:P44" si="15">I21+I42</f>
        <v>298566.98</v>
      </c>
      <c r="J44" s="17">
        <f t="shared" si="15"/>
        <v>0</v>
      </c>
      <c r="K44" s="17">
        <f t="shared" si="15"/>
        <v>298566.98</v>
      </c>
      <c r="L44" s="17">
        <f t="shared" si="15"/>
        <v>445145.69</v>
      </c>
      <c r="M44" s="6">
        <f t="shared" si="15"/>
        <v>8576.7800000000007</v>
      </c>
      <c r="N44" s="6">
        <f t="shared" si="15"/>
        <v>28363.919999999998</v>
      </c>
      <c r="O44" s="6">
        <f t="shared" si="15"/>
        <v>27947.52</v>
      </c>
      <c r="P44" s="6">
        <f t="shared" si="15"/>
        <v>0</v>
      </c>
      <c r="Q44" s="16">
        <f t="shared" si="0"/>
        <v>27947.52</v>
      </c>
      <c r="R44" s="6">
        <f>CDBG!H28</f>
        <v>-0.14999999999997726</v>
      </c>
      <c r="S44" s="48">
        <f>S21+S42</f>
        <v>56610.31</v>
      </c>
      <c r="T44" s="6">
        <f>T21+T42</f>
        <v>0</v>
      </c>
      <c r="U44" s="6">
        <f>S44+T44</f>
        <v>56610.31</v>
      </c>
      <c r="V44" s="48">
        <f>V21+V42</f>
        <v>17710.14</v>
      </c>
      <c r="W44" s="6">
        <f>W21+W42</f>
        <v>0</v>
      </c>
      <c r="X44" s="6">
        <f>V44+W44</f>
        <v>17710.14</v>
      </c>
      <c r="Y44" s="6">
        <f>'OEO-Weatherization'!H43</f>
        <v>33750.910000000003</v>
      </c>
      <c r="Z44" s="6">
        <f>'OEO-Other'!Y43</f>
        <v>836599.30999999994</v>
      </c>
      <c r="AA44" s="6">
        <f>'Transportation Fund'!Y44</f>
        <v>78555.97</v>
      </c>
      <c r="AB44" s="6">
        <f>'Special Purpose '!E43</f>
        <v>164824.82</v>
      </c>
      <c r="AD44" s="6">
        <f>AD21+AD42</f>
        <v>10785.43</v>
      </c>
      <c r="AE44" s="6">
        <f>AE21+AE42</f>
        <v>693112.67</v>
      </c>
      <c r="AF44" s="6">
        <f>AF21+AF42</f>
        <v>60570</v>
      </c>
      <c r="AG44" s="6">
        <f>AE44+AF44</f>
        <v>753682.67</v>
      </c>
      <c r="AH44" s="6">
        <f>'911'!H43</f>
        <v>426757.47</v>
      </c>
      <c r="AI44" s="26">
        <f>B44+C44+D44+E44+F44+G44+K44+L44+M44+N44+Q44+R44+U44+X44+Y44+Z44+AA44+AB44+AD44+AG44+AH44</f>
        <v>4872954.2</v>
      </c>
    </row>
    <row r="45" spans="1:35" x14ac:dyDescent="0.25">
      <c r="B45" s="55" t="str">
        <f>IF(B13=B44,"YES","NO")</f>
        <v>YES</v>
      </c>
      <c r="C45" s="55" t="str">
        <f t="shared" ref="C45:AI45" si="16">IF(C13=C44,"YES","NO")</f>
        <v>YES</v>
      </c>
      <c r="D45" s="55" t="str">
        <f t="shared" si="16"/>
        <v>YES</v>
      </c>
      <c r="E45" s="55" t="str">
        <f t="shared" si="16"/>
        <v>YES</v>
      </c>
      <c r="F45" s="55" t="str">
        <f t="shared" si="16"/>
        <v>YES</v>
      </c>
      <c r="G45" s="55" t="str">
        <f t="shared" si="16"/>
        <v>YES</v>
      </c>
      <c r="H45" s="55" t="str">
        <f t="shared" si="16"/>
        <v>YES</v>
      </c>
      <c r="I45" s="55" t="str">
        <f t="shared" si="16"/>
        <v>YES</v>
      </c>
      <c r="J45" s="55" t="str">
        <f t="shared" si="16"/>
        <v>YES</v>
      </c>
      <c r="K45" s="55" t="str">
        <f t="shared" si="16"/>
        <v>YES</v>
      </c>
      <c r="L45" s="55" t="str">
        <f t="shared" si="16"/>
        <v>YES</v>
      </c>
      <c r="M45" s="55" t="str">
        <f t="shared" si="16"/>
        <v>YES</v>
      </c>
      <c r="N45" s="55" t="str">
        <f t="shared" si="16"/>
        <v>YES</v>
      </c>
      <c r="O45" s="55" t="str">
        <f t="shared" si="16"/>
        <v>YES</v>
      </c>
      <c r="P45" s="55" t="str">
        <f t="shared" si="16"/>
        <v>YES</v>
      </c>
      <c r="Q45" s="55" t="str">
        <f t="shared" si="16"/>
        <v>YES</v>
      </c>
      <c r="R45" s="55" t="str">
        <f t="shared" si="16"/>
        <v>NO</v>
      </c>
      <c r="S45" s="55" t="str">
        <f t="shared" si="16"/>
        <v>YES</v>
      </c>
      <c r="T45" s="55" t="str">
        <f t="shared" si="16"/>
        <v>YES</v>
      </c>
      <c r="U45" s="55" t="str">
        <f t="shared" si="16"/>
        <v>YES</v>
      </c>
      <c r="V45" s="55" t="str">
        <f t="shared" si="16"/>
        <v>YES</v>
      </c>
      <c r="W45" s="55" t="str">
        <f t="shared" si="16"/>
        <v>YES</v>
      </c>
      <c r="X45" s="55" t="str">
        <f t="shared" si="16"/>
        <v>YES</v>
      </c>
      <c r="Y45" s="55" t="str">
        <f t="shared" si="16"/>
        <v>YES</v>
      </c>
      <c r="Z45" s="55" t="str">
        <f t="shared" si="16"/>
        <v>YES</v>
      </c>
      <c r="AA45" s="55" t="str">
        <f t="shared" si="16"/>
        <v>YES</v>
      </c>
      <c r="AB45" s="55" t="str">
        <f t="shared" si="16"/>
        <v>YES</v>
      </c>
      <c r="AC45" s="55" t="str">
        <f t="shared" si="16"/>
        <v>YES</v>
      </c>
      <c r="AD45" s="55" t="str">
        <f t="shared" si="16"/>
        <v>YES</v>
      </c>
      <c r="AE45" s="55" t="str">
        <f t="shared" si="16"/>
        <v>YES</v>
      </c>
      <c r="AF45" s="55" t="str">
        <f t="shared" si="16"/>
        <v>YES</v>
      </c>
      <c r="AG45" s="55" t="str">
        <f t="shared" si="16"/>
        <v>YES</v>
      </c>
      <c r="AH45" s="55" t="str">
        <f t="shared" si="16"/>
        <v>YES</v>
      </c>
      <c r="AI45" s="55" t="str">
        <f t="shared" si="16"/>
        <v>YES</v>
      </c>
    </row>
    <row r="46" spans="1:35" x14ac:dyDescent="0.25">
      <c r="A46" s="3" t="s">
        <v>20</v>
      </c>
      <c r="K46" s="19">
        <f t="shared" ref="K46:K68" si="17">SUM(I46:J46)</f>
        <v>0</v>
      </c>
      <c r="Q46" s="16">
        <f t="shared" si="0"/>
        <v>0</v>
      </c>
      <c r="R46" s="6"/>
      <c r="T46" s="6"/>
      <c r="U46" s="6"/>
      <c r="W46" s="6"/>
      <c r="X46" s="6"/>
      <c r="Y46" s="6"/>
      <c r="Z46" s="6"/>
      <c r="AA46" s="6"/>
      <c r="AB46" s="6"/>
      <c r="AD46" s="6"/>
      <c r="AE46" s="6"/>
      <c r="AF46" s="6"/>
      <c r="AG46" s="6"/>
      <c r="AI46" s="26"/>
    </row>
    <row r="47" spans="1:35" x14ac:dyDescent="0.25">
      <c r="A47" s="4" t="s">
        <v>21</v>
      </c>
      <c r="B47" s="20">
        <f>493482.28+174981.29</f>
        <v>668463.57000000007</v>
      </c>
      <c r="C47" s="20"/>
      <c r="D47" s="61">
        <f>'Airport Funds'!I46</f>
        <v>345008.76</v>
      </c>
      <c r="E47" s="20">
        <v>7860.29</v>
      </c>
      <c r="F47" s="20">
        <v>123579.58</v>
      </c>
      <c r="G47" s="20"/>
      <c r="I47" s="20"/>
      <c r="J47" s="20"/>
      <c r="K47" s="19">
        <f t="shared" si="17"/>
        <v>0</v>
      </c>
      <c r="L47" s="20">
        <f>3760+85721.61</f>
        <v>89481.61</v>
      </c>
      <c r="M47" s="20"/>
      <c r="N47" s="20"/>
      <c r="O47" s="20"/>
      <c r="P47" s="20"/>
      <c r="Q47" s="16">
        <f t="shared" si="0"/>
        <v>0</v>
      </c>
      <c r="R47" s="6">
        <f>CDBG!H31</f>
        <v>297558.03000000003</v>
      </c>
      <c r="S47" s="52">
        <v>341699</v>
      </c>
      <c r="T47" s="20"/>
      <c r="U47" s="62">
        <f>S47+T47</f>
        <v>341699</v>
      </c>
      <c r="V47" s="52">
        <v>154808.82999999999</v>
      </c>
      <c r="W47" s="20">
        <v>6504</v>
      </c>
      <c r="X47" s="6">
        <f>V47+W47</f>
        <v>161312.82999999999</v>
      </c>
      <c r="Y47" s="6">
        <f>'OEO-Weatherization'!H46</f>
        <v>36476</v>
      </c>
      <c r="Z47" s="6">
        <f>'OEO-Other'!Y46</f>
        <v>137338.89000000001</v>
      </c>
      <c r="AA47" s="6">
        <f>'Transportation Fund'!Y47</f>
        <v>1229663</v>
      </c>
      <c r="AB47" s="6">
        <f>'Special Purpose '!E46</f>
        <v>0</v>
      </c>
      <c r="AD47" s="20"/>
      <c r="AE47" s="20">
        <f>356947.7-99955.39-402</f>
        <v>256590.31</v>
      </c>
      <c r="AF47" s="20">
        <f>60570+23472</f>
        <v>84042</v>
      </c>
      <c r="AG47" s="6">
        <f>AE47+AF47</f>
        <v>340632.31</v>
      </c>
      <c r="AH47" s="6">
        <f>'911'!H46</f>
        <v>1833396.3800000001</v>
      </c>
      <c r="AI47" s="26">
        <f>B47+C47+D47+E47+F47+G47+K47+L47+M47+N47+Q47+R47+U47+X47+Y47+Z47+AA47+AB47+AD47+AG47+AH47</f>
        <v>5612470.2500000009</v>
      </c>
    </row>
    <row r="48" spans="1:35" x14ac:dyDescent="0.25">
      <c r="A48" s="4" t="s">
        <v>22</v>
      </c>
      <c r="B48" s="20">
        <f>174981.29-174981.29</f>
        <v>0</v>
      </c>
      <c r="C48" s="20">
        <v>31705.02</v>
      </c>
      <c r="D48" s="61">
        <f>'Airport Funds'!I47</f>
        <v>297973.53000000003</v>
      </c>
      <c r="E48" s="20">
        <v>20500</v>
      </c>
      <c r="F48" s="20"/>
      <c r="G48" s="20">
        <v>25860</v>
      </c>
      <c r="I48" s="20"/>
      <c r="J48" s="20"/>
      <c r="K48" s="19">
        <f t="shared" si="17"/>
        <v>0</v>
      </c>
      <c r="L48" s="20">
        <f>3760-3760</f>
        <v>0</v>
      </c>
      <c r="M48" s="20">
        <v>2542.09</v>
      </c>
      <c r="N48" s="20">
        <v>10978</v>
      </c>
      <c r="O48" s="20">
        <v>7354.97</v>
      </c>
      <c r="P48" s="20"/>
      <c r="Q48" s="16">
        <f t="shared" si="0"/>
        <v>7354.97</v>
      </c>
      <c r="R48" s="6">
        <f>CDBG!H32</f>
        <v>1000</v>
      </c>
      <c r="S48" s="52"/>
      <c r="T48" s="20"/>
      <c r="U48" s="62">
        <f t="shared" ref="U48:U51" si="18">S48+T48</f>
        <v>0</v>
      </c>
      <c r="V48" s="52"/>
      <c r="W48" s="20"/>
      <c r="X48" s="6">
        <f>V48+W48</f>
        <v>0</v>
      </c>
      <c r="Y48" s="6">
        <f>'OEO-Weatherization'!H47</f>
        <v>0</v>
      </c>
      <c r="Z48" s="6">
        <f>'OEO-Other'!Y47</f>
        <v>0</v>
      </c>
      <c r="AA48" s="6">
        <f>'Transportation Fund'!Y48</f>
        <v>0</v>
      </c>
      <c r="AB48" s="6">
        <f>'Special Purpose '!E47</f>
        <v>0</v>
      </c>
      <c r="AD48" s="20"/>
      <c r="AE48" s="20">
        <f>99955.39+402</f>
        <v>100357.39</v>
      </c>
      <c r="AF48" s="20"/>
      <c r="AG48" s="17">
        <f>AE48+AF48</f>
        <v>100357.39</v>
      </c>
      <c r="AH48" s="6">
        <f>'911'!H47</f>
        <v>0</v>
      </c>
      <c r="AI48" s="26">
        <f t="shared" ref="AI48:AI52" si="19">B48+C48+D48+E48+F48+G48+K48+L48+M48+N48+Q48+R48+U48+X48+Y48+Z48+AA48+AB48+AD48+AG48+AH48</f>
        <v>498271.00000000006</v>
      </c>
    </row>
    <row r="49" spans="1:35" x14ac:dyDescent="0.25">
      <c r="A49" s="4" t="s">
        <v>240</v>
      </c>
      <c r="B49" s="20"/>
      <c r="C49" s="20"/>
      <c r="D49" s="61"/>
      <c r="E49" s="20"/>
      <c r="F49" s="20"/>
      <c r="G49" s="20"/>
      <c r="I49" s="20">
        <v>54970.97</v>
      </c>
      <c r="J49" s="20"/>
      <c r="K49" s="19">
        <f t="shared" si="17"/>
        <v>54970.97</v>
      </c>
      <c r="L49" s="20">
        <f>85721.61-85721.61</f>
        <v>0</v>
      </c>
      <c r="M49" s="20"/>
      <c r="N49" s="20"/>
      <c r="O49" s="20"/>
      <c r="P49" s="20"/>
      <c r="Q49" s="16"/>
      <c r="R49" s="6"/>
      <c r="S49" s="52"/>
      <c r="T49" s="20"/>
      <c r="U49" s="62">
        <f t="shared" si="18"/>
        <v>0</v>
      </c>
      <c r="V49" s="52"/>
      <c r="W49" s="20"/>
      <c r="X49" s="6"/>
      <c r="Y49" s="6">
        <f>'OEO-Weatherization'!H48</f>
        <v>0</v>
      </c>
      <c r="Z49" s="6">
        <f>'OEO-Other'!Y48</f>
        <v>40</v>
      </c>
      <c r="AA49" s="6">
        <f>'Transportation Fund'!Y49</f>
        <v>0</v>
      </c>
      <c r="AB49" s="6"/>
      <c r="AD49" s="20"/>
      <c r="AE49" s="20"/>
      <c r="AF49" s="20"/>
      <c r="AG49" s="17"/>
      <c r="AH49" s="6">
        <v>0</v>
      </c>
      <c r="AI49" s="26">
        <f t="shared" si="19"/>
        <v>55010.97</v>
      </c>
    </row>
    <row r="50" spans="1:35" ht="15" customHeight="1" x14ac:dyDescent="0.25">
      <c r="A50" s="4" t="s">
        <v>23</v>
      </c>
      <c r="B50" s="20">
        <v>2803.03</v>
      </c>
      <c r="C50" s="20">
        <v>35.46</v>
      </c>
      <c r="D50" s="61">
        <f>'Airport Funds'!I48</f>
        <v>683.78</v>
      </c>
      <c r="E50" s="20">
        <v>156.30000000000001</v>
      </c>
      <c r="F50" s="20">
        <v>592.48</v>
      </c>
      <c r="G50" s="20">
        <v>19.52</v>
      </c>
      <c r="I50" s="20">
        <v>670.98</v>
      </c>
      <c r="J50" s="20"/>
      <c r="K50" s="19">
        <f t="shared" si="17"/>
        <v>670.98</v>
      </c>
      <c r="L50" s="20">
        <v>971.32</v>
      </c>
      <c r="M50" s="20">
        <v>16.03</v>
      </c>
      <c r="N50" s="20">
        <v>71.930000000000007</v>
      </c>
      <c r="O50" s="20">
        <v>61.41</v>
      </c>
      <c r="P50" s="20"/>
      <c r="Q50" s="16">
        <f>SUM(O50:P50)</f>
        <v>61.41</v>
      </c>
      <c r="R50" s="6">
        <f>CDBG!H33</f>
        <v>4.33</v>
      </c>
      <c r="S50" s="52"/>
      <c r="T50" s="20"/>
      <c r="U50" s="62">
        <f t="shared" si="18"/>
        <v>0</v>
      </c>
      <c r="V50" s="52">
        <v>-2</v>
      </c>
      <c r="W50" s="20"/>
      <c r="X50" s="6">
        <f>V50+W50</f>
        <v>-2</v>
      </c>
      <c r="Y50" s="6">
        <f>'OEO-Weatherization'!H49</f>
        <v>0</v>
      </c>
      <c r="Z50" s="6">
        <f>'OEO-Other'!Y49</f>
        <v>4086.08</v>
      </c>
      <c r="AA50" s="6">
        <f>'Transportation Fund'!Y50</f>
        <v>47.58</v>
      </c>
      <c r="AB50" s="6">
        <f>'Special Purpose '!E48</f>
        <v>11353.08</v>
      </c>
      <c r="AD50" s="20">
        <v>25.62</v>
      </c>
      <c r="AE50" s="20">
        <v>1603.04</v>
      </c>
      <c r="AF50" s="20"/>
      <c r="AG50" s="17">
        <f>AE50+AF50</f>
        <v>1603.04</v>
      </c>
      <c r="AH50" s="6">
        <f>'911'!H48</f>
        <v>4120.6900000000005</v>
      </c>
      <c r="AI50" s="26">
        <f t="shared" si="19"/>
        <v>27320.660000000003</v>
      </c>
    </row>
    <row r="51" spans="1:35" x14ac:dyDescent="0.25">
      <c r="A51" s="4" t="s">
        <v>24</v>
      </c>
      <c r="B51" s="20"/>
      <c r="C51" s="20"/>
      <c r="D51" s="61">
        <f>'Airport Funds'!I49</f>
        <v>19675.32</v>
      </c>
      <c r="E51" s="20"/>
      <c r="F51" s="20"/>
      <c r="G51" s="20"/>
      <c r="I51" s="20"/>
      <c r="J51" s="20"/>
      <c r="K51" s="19">
        <f t="shared" si="17"/>
        <v>0</v>
      </c>
      <c r="L51" s="20"/>
      <c r="M51" s="20"/>
      <c r="N51" s="20"/>
      <c r="O51" s="20"/>
      <c r="P51" s="20"/>
      <c r="Q51" s="16">
        <f>SUM(O51:P51)</f>
        <v>0</v>
      </c>
      <c r="R51" s="6">
        <f>CDBG!H34</f>
        <v>0</v>
      </c>
      <c r="S51" s="52"/>
      <c r="T51" s="20"/>
      <c r="U51" s="62">
        <f t="shared" si="18"/>
        <v>0</v>
      </c>
      <c r="V51" s="52"/>
      <c r="W51" s="20"/>
      <c r="X51" s="6">
        <f>V51+W51</f>
        <v>0</v>
      </c>
      <c r="Y51" s="6">
        <f>'OEO-Weatherization'!H50</f>
        <v>0</v>
      </c>
      <c r="Z51" s="6">
        <f>'OEO-Other'!Y50</f>
        <v>0</v>
      </c>
      <c r="AA51" s="6">
        <f>'Transportation Fund'!Y51</f>
        <v>0</v>
      </c>
      <c r="AB51" s="6">
        <f>'Special Purpose '!E49</f>
        <v>0</v>
      </c>
      <c r="AD51" s="20"/>
      <c r="AE51" s="20"/>
      <c r="AF51" s="20">
        <f>1150+11+200</f>
        <v>1361</v>
      </c>
      <c r="AG51" s="6">
        <f>AE51+AF51</f>
        <v>1361</v>
      </c>
      <c r="AH51" s="6">
        <f>'911'!H49</f>
        <v>0</v>
      </c>
      <c r="AI51" s="26">
        <f t="shared" si="19"/>
        <v>21036.32</v>
      </c>
    </row>
    <row r="52" spans="1:35" x14ac:dyDescent="0.25">
      <c r="A52" s="2" t="s">
        <v>25</v>
      </c>
      <c r="B52" s="6">
        <f t="shared" ref="B52:G52" si="20">SUM(B47:B51)</f>
        <v>671266.60000000009</v>
      </c>
      <c r="C52" s="6">
        <f t="shared" si="20"/>
        <v>31740.48</v>
      </c>
      <c r="D52" s="6">
        <f t="shared" si="20"/>
        <v>663341.39</v>
      </c>
      <c r="E52" s="17">
        <f t="shared" si="20"/>
        <v>28516.59</v>
      </c>
      <c r="F52" s="17">
        <f t="shared" si="20"/>
        <v>124172.06</v>
      </c>
      <c r="G52" s="17">
        <f t="shared" si="20"/>
        <v>25879.52</v>
      </c>
      <c r="I52" s="17">
        <f>SUM(I47:I51)</f>
        <v>55641.950000000004</v>
      </c>
      <c r="J52" s="17">
        <f>SUM(J47:J51)</f>
        <v>0</v>
      </c>
      <c r="K52" s="19">
        <f t="shared" si="17"/>
        <v>55641.950000000004</v>
      </c>
      <c r="L52" s="17">
        <f>SUM(L47:L51)</f>
        <v>90452.930000000008</v>
      </c>
      <c r="M52" s="6">
        <f>SUM(M47:M51)</f>
        <v>2558.1200000000003</v>
      </c>
      <c r="N52" s="6">
        <f>SUM(N47:N51)</f>
        <v>11049.93</v>
      </c>
      <c r="O52" s="6">
        <f>SUM(O47:O51)</f>
        <v>7416.38</v>
      </c>
      <c r="P52" s="6">
        <f>SUM(P47:P51)</f>
        <v>0</v>
      </c>
      <c r="Q52" s="16">
        <f>SUM(O52:P52)</f>
        <v>7416.38</v>
      </c>
      <c r="R52" s="6">
        <f>CDBG!H35</f>
        <v>298562.36000000004</v>
      </c>
      <c r="S52" s="48">
        <f>SUM(S47:S51)</f>
        <v>341699</v>
      </c>
      <c r="T52" s="6">
        <f>SUM(T47:T51)</f>
        <v>0</v>
      </c>
      <c r="U52" s="6">
        <f>S52+T52</f>
        <v>341699</v>
      </c>
      <c r="V52" s="48">
        <f>SUM(V47:V51)</f>
        <v>154806.82999999999</v>
      </c>
      <c r="W52" s="6">
        <f>SUM(W47:W51)</f>
        <v>6504</v>
      </c>
      <c r="X52" s="6">
        <f>V52+W52</f>
        <v>161310.82999999999</v>
      </c>
      <c r="Y52" s="6">
        <f>'OEO-Weatherization'!H51</f>
        <v>36476</v>
      </c>
      <c r="Z52" s="6">
        <f>'OEO-Other'!Y51</f>
        <v>141464.97</v>
      </c>
      <c r="AA52" s="6">
        <f>'Transportation Fund'!Y52</f>
        <v>1229710.58</v>
      </c>
      <c r="AB52" s="6">
        <f>'Special Purpose '!E50</f>
        <v>11353.08</v>
      </c>
      <c r="AD52" s="6">
        <f>SUM(AD47:AD51)</f>
        <v>25.62</v>
      </c>
      <c r="AE52" s="6">
        <f>SUM(AE47:AE51)</f>
        <v>358550.74</v>
      </c>
      <c r="AF52" s="6">
        <f>SUM(AF47:AF51)</f>
        <v>85403</v>
      </c>
      <c r="AG52" s="6">
        <f>AE52+AF52</f>
        <v>443953.74</v>
      </c>
      <c r="AH52" s="6">
        <f>'911'!H50</f>
        <v>1837517.07</v>
      </c>
      <c r="AI52" s="26">
        <f t="shared" si="19"/>
        <v>6214109.2000000011</v>
      </c>
    </row>
    <row r="53" spans="1:35" x14ac:dyDescent="0.25">
      <c r="K53" s="19">
        <f t="shared" si="17"/>
        <v>0</v>
      </c>
      <c r="Q53" s="16"/>
      <c r="R53" s="6"/>
      <c r="T53" s="6"/>
      <c r="U53" s="6"/>
      <c r="W53" s="6"/>
      <c r="X53" s="6"/>
      <c r="Y53" s="6"/>
      <c r="Z53" s="6"/>
      <c r="AA53" s="6"/>
      <c r="AB53" s="6"/>
      <c r="AD53" s="6"/>
      <c r="AE53" s="6"/>
      <c r="AF53" s="6"/>
      <c r="AG53" s="6"/>
      <c r="AI53" s="26"/>
    </row>
    <row r="54" spans="1:35" x14ac:dyDescent="0.25">
      <c r="A54" s="3" t="s">
        <v>26</v>
      </c>
      <c r="K54" s="19">
        <f t="shared" si="17"/>
        <v>0</v>
      </c>
      <c r="Q54" s="16"/>
      <c r="R54" s="6"/>
      <c r="T54" s="6"/>
      <c r="U54" s="6"/>
      <c r="W54" s="6"/>
      <c r="X54" s="6"/>
      <c r="Y54" s="6"/>
      <c r="Z54" s="6"/>
      <c r="AA54" s="6"/>
      <c r="AB54" s="6"/>
      <c r="AD54" s="6"/>
      <c r="AE54" s="6"/>
      <c r="AF54" s="6"/>
      <c r="AG54" s="6"/>
      <c r="AI54" s="26"/>
    </row>
    <row r="55" spans="1:35" x14ac:dyDescent="0.25">
      <c r="A55" s="4" t="s">
        <v>27</v>
      </c>
      <c r="B55" s="88"/>
      <c r="C55" s="88"/>
      <c r="D55" s="62"/>
      <c r="E55" s="88"/>
      <c r="F55" s="88"/>
      <c r="G55" s="88"/>
      <c r="I55" s="88"/>
      <c r="J55" s="20"/>
      <c r="K55" s="19">
        <f t="shared" si="17"/>
        <v>0</v>
      </c>
      <c r="L55" s="88"/>
      <c r="M55" s="88"/>
      <c r="N55" s="20">
        <v>4873.38</v>
      </c>
      <c r="O55" s="88"/>
      <c r="P55" s="20"/>
      <c r="Q55" s="16">
        <f t="shared" ref="Q55:Q68" si="21">SUM(O55:P55)</f>
        <v>0</v>
      </c>
      <c r="R55" s="6">
        <f>CDBG!H38</f>
        <v>0</v>
      </c>
      <c r="S55" s="86"/>
      <c r="T55" s="20"/>
      <c r="U55" s="6">
        <f t="shared" ref="U55:U60" si="22">S55+T55</f>
        <v>0</v>
      </c>
      <c r="V55" s="86"/>
      <c r="W55" s="20"/>
      <c r="X55" s="6">
        <f t="shared" ref="X55:X61" si="23">V55+W55</f>
        <v>0</v>
      </c>
      <c r="Y55" s="6">
        <f>'OEO-Weatherization'!H54</f>
        <v>0</v>
      </c>
      <c r="Z55" s="6">
        <f>'OEO-Other'!Y54</f>
        <v>0</v>
      </c>
      <c r="AA55" s="6">
        <f>'Transportation Fund'!Y55</f>
        <v>0</v>
      </c>
      <c r="AB55" s="6">
        <f>'Special Purpose '!E53</f>
        <v>0</v>
      </c>
      <c r="AD55" s="20"/>
      <c r="AE55" s="20"/>
      <c r="AF55" s="20"/>
      <c r="AG55" s="6">
        <f t="shared" ref="AG55:AG61" si="24">AE55+AF55</f>
        <v>0</v>
      </c>
      <c r="AH55" s="6">
        <f>'911'!H53</f>
        <v>0</v>
      </c>
      <c r="AI55" s="26">
        <f>B55+C55+D55+E55+F55+G55+K55+L55+M55+N55+Q55+R55+U55+X55+Y55+Z55+AA55+AB55+AD55+AG55+AH55</f>
        <v>4873.38</v>
      </c>
    </row>
    <row r="56" spans="1:35" x14ac:dyDescent="0.25">
      <c r="A56" s="4" t="s">
        <v>28</v>
      </c>
      <c r="B56" s="88"/>
      <c r="C56" s="88"/>
      <c r="D56" s="62"/>
      <c r="E56" s="62"/>
      <c r="F56" s="88"/>
      <c r="G56" s="129">
        <v>17795</v>
      </c>
      <c r="I56" s="20">
        <v>33032.36</v>
      </c>
      <c r="J56" s="20"/>
      <c r="K56" s="19">
        <f t="shared" si="17"/>
        <v>33032.36</v>
      </c>
      <c r="L56" s="20">
        <v>45355.74</v>
      </c>
      <c r="M56" s="20">
        <v>0</v>
      </c>
      <c r="N56" s="88"/>
      <c r="O56" s="20">
        <v>4085.86</v>
      </c>
      <c r="P56" s="20"/>
      <c r="Q56" s="16">
        <f t="shared" si="21"/>
        <v>4085.86</v>
      </c>
      <c r="R56" s="6">
        <f>CDBG!H39</f>
        <v>0</v>
      </c>
      <c r="S56" s="86"/>
      <c r="T56" s="20"/>
      <c r="U56" s="6">
        <f t="shared" si="22"/>
        <v>0</v>
      </c>
      <c r="V56" s="86"/>
      <c r="W56" s="20"/>
      <c r="X56" s="6">
        <f t="shared" si="23"/>
        <v>0</v>
      </c>
      <c r="Y56" s="6">
        <f>'OEO-Weatherization'!H55</f>
        <v>0</v>
      </c>
      <c r="Z56" s="6">
        <f>'OEO-Other'!Y55</f>
        <v>0</v>
      </c>
      <c r="AA56" s="6">
        <f>'Transportation Fund'!Y56</f>
        <v>0</v>
      </c>
      <c r="AB56" s="6">
        <f>'Special Purpose '!E54</f>
        <v>0</v>
      </c>
      <c r="AD56" s="20"/>
      <c r="AE56" s="20"/>
      <c r="AF56" s="20">
        <v>494427</v>
      </c>
      <c r="AG56" s="6">
        <f t="shared" si="24"/>
        <v>494427</v>
      </c>
      <c r="AH56" s="6">
        <f>'911'!H54</f>
        <v>0</v>
      </c>
      <c r="AI56" s="26">
        <f t="shared" ref="AI56:AI63" si="25">B56+C56+D56+E56+F56+G56+K56+L56+M56+N56+Q56+R56+U56+X56+Y56+Z56+AA56+AB56+AD56+AG56+AH56</f>
        <v>594695.96</v>
      </c>
    </row>
    <row r="57" spans="1:35" x14ac:dyDescent="0.25">
      <c r="A57" s="4" t="s">
        <v>29</v>
      </c>
      <c r="B57" s="88"/>
      <c r="C57" s="88"/>
      <c r="D57" s="62"/>
      <c r="E57" s="20">
        <v>15225.95</v>
      </c>
      <c r="F57" s="88"/>
      <c r="G57" s="88"/>
      <c r="I57" s="88"/>
      <c r="J57" s="20"/>
      <c r="K57" s="19">
        <f t="shared" si="17"/>
        <v>0</v>
      </c>
      <c r="L57" s="88"/>
      <c r="M57" s="88"/>
      <c r="N57" s="88"/>
      <c r="O57" s="88"/>
      <c r="P57" s="20"/>
      <c r="Q57" s="16">
        <f t="shared" si="21"/>
        <v>0</v>
      </c>
      <c r="R57" s="6">
        <f>CDBG!H40</f>
        <v>0</v>
      </c>
      <c r="S57" s="86"/>
      <c r="T57" s="20"/>
      <c r="U57" s="6">
        <f t="shared" si="22"/>
        <v>0</v>
      </c>
      <c r="V57" s="86"/>
      <c r="W57" s="20"/>
      <c r="X57" s="6">
        <f t="shared" si="23"/>
        <v>0</v>
      </c>
      <c r="Y57" s="6">
        <f>'OEO-Weatherization'!H56</f>
        <v>0</v>
      </c>
      <c r="Z57" s="6">
        <f>'OEO-Other'!Y56</f>
        <v>0</v>
      </c>
      <c r="AA57" s="6">
        <f>'Transportation Fund'!Y57</f>
        <v>0</v>
      </c>
      <c r="AB57" s="6">
        <f>'Special Purpose '!E55</f>
        <v>0</v>
      </c>
      <c r="AD57" s="20"/>
      <c r="AE57" s="20"/>
      <c r="AF57" s="20"/>
      <c r="AG57" s="6">
        <f t="shared" si="24"/>
        <v>0</v>
      </c>
      <c r="AH57" s="6">
        <f>'911'!H55</f>
        <v>1835850.39</v>
      </c>
      <c r="AI57" s="26">
        <f t="shared" si="25"/>
        <v>1851076.3399999999</v>
      </c>
    </row>
    <row r="58" spans="1:35" x14ac:dyDescent="0.25">
      <c r="A58" s="4" t="s">
        <v>30</v>
      </c>
      <c r="B58" s="20">
        <v>621911.13</v>
      </c>
      <c r="C58" s="88"/>
      <c r="D58" s="21">
        <f>'Airport Funds'!I56</f>
        <v>681759.54</v>
      </c>
      <c r="E58" s="88"/>
      <c r="F58" s="88"/>
      <c r="G58" s="88"/>
      <c r="I58" s="88"/>
      <c r="J58" s="20"/>
      <c r="K58" s="19">
        <f t="shared" si="17"/>
        <v>0</v>
      </c>
      <c r="L58" s="88"/>
      <c r="M58" s="88"/>
      <c r="N58" s="88"/>
      <c r="O58" s="88"/>
      <c r="P58" s="20"/>
      <c r="Q58" s="16">
        <f t="shared" si="21"/>
        <v>0</v>
      </c>
      <c r="R58" s="6">
        <f>CDBG!H41</f>
        <v>0</v>
      </c>
      <c r="S58" s="86"/>
      <c r="T58" s="20"/>
      <c r="U58" s="6">
        <f t="shared" si="22"/>
        <v>0</v>
      </c>
      <c r="V58" s="86"/>
      <c r="W58" s="20"/>
      <c r="X58" s="6">
        <f t="shared" si="23"/>
        <v>0</v>
      </c>
      <c r="Y58" s="6">
        <f>'OEO-Weatherization'!H57</f>
        <v>0</v>
      </c>
      <c r="Z58" s="6">
        <f>'OEO-Other'!Y57</f>
        <v>0</v>
      </c>
      <c r="AA58" s="6">
        <v>0</v>
      </c>
      <c r="AB58" s="6">
        <f>'Special Purpose '!E56</f>
        <v>0</v>
      </c>
      <c r="AD58" s="20"/>
      <c r="AE58" s="20"/>
      <c r="AF58" s="20"/>
      <c r="AG58" s="6">
        <f t="shared" si="24"/>
        <v>0</v>
      </c>
      <c r="AH58" s="6">
        <f>'911'!H56</f>
        <v>0</v>
      </c>
      <c r="AI58" s="26">
        <f t="shared" si="25"/>
        <v>1303670.67</v>
      </c>
    </row>
    <row r="59" spans="1:35" x14ac:dyDescent="0.25">
      <c r="A59" s="4" t="s">
        <v>31</v>
      </c>
      <c r="B59" s="88"/>
      <c r="C59" s="20">
        <v>37494.949999999997</v>
      </c>
      <c r="D59" s="62"/>
      <c r="E59" s="88"/>
      <c r="F59" s="88"/>
      <c r="G59" s="88"/>
      <c r="I59" s="88"/>
      <c r="J59" s="20"/>
      <c r="K59" s="19">
        <f t="shared" si="17"/>
        <v>0</v>
      </c>
      <c r="L59" s="88"/>
      <c r="M59" s="88"/>
      <c r="N59" s="88"/>
      <c r="O59" s="88"/>
      <c r="P59" s="20"/>
      <c r="Q59" s="16">
        <f t="shared" si="21"/>
        <v>0</v>
      </c>
      <c r="R59" s="6">
        <f>CDBG!H42</f>
        <v>0</v>
      </c>
      <c r="S59" s="52">
        <v>328140.05</v>
      </c>
      <c r="T59" s="20"/>
      <c r="U59" s="6">
        <f t="shared" si="22"/>
        <v>328140.05</v>
      </c>
      <c r="V59" s="52">
        <v>151104.41</v>
      </c>
      <c r="W59" s="20"/>
      <c r="X59" s="6">
        <f t="shared" si="23"/>
        <v>151104.41</v>
      </c>
      <c r="Y59" s="6">
        <f>'OEO-Weatherization'!H58</f>
        <v>30546.19</v>
      </c>
      <c r="Z59" s="6">
        <f>'OEO-Other'!Y58</f>
        <v>342133.71</v>
      </c>
      <c r="AA59" s="6">
        <f>'Transportation Fund'!Y59</f>
        <v>1215448.47</v>
      </c>
      <c r="AB59" s="6">
        <f>'Special Purpose '!E57</f>
        <v>57.27</v>
      </c>
      <c r="AD59" s="20"/>
      <c r="AE59" s="20"/>
      <c r="AF59" s="20"/>
      <c r="AG59" s="6">
        <f t="shared" si="24"/>
        <v>0</v>
      </c>
      <c r="AH59" s="6">
        <f>'911'!H57</f>
        <v>0</v>
      </c>
      <c r="AI59" s="26">
        <f t="shared" si="25"/>
        <v>2104925.0500000003</v>
      </c>
    </row>
    <row r="60" spans="1:35" x14ac:dyDescent="0.25">
      <c r="A60" s="4" t="s">
        <v>63</v>
      </c>
      <c r="B60" s="88"/>
      <c r="C60" s="88"/>
      <c r="D60" s="62">
        <f>'Airport Funds'!I58</f>
        <v>4000</v>
      </c>
      <c r="E60" s="88"/>
      <c r="F60" s="20">
        <v>128175</v>
      </c>
      <c r="G60" s="88"/>
      <c r="I60" s="88"/>
      <c r="J60" s="20"/>
      <c r="K60" s="19">
        <f t="shared" si="17"/>
        <v>0</v>
      </c>
      <c r="L60" s="88"/>
      <c r="M60" s="88"/>
      <c r="N60" s="88"/>
      <c r="O60" s="88"/>
      <c r="P60" s="20"/>
      <c r="Q60" s="16">
        <f t="shared" si="21"/>
        <v>0</v>
      </c>
      <c r="R60" s="6">
        <f>CDBG!H43</f>
        <v>298562.36</v>
      </c>
      <c r="S60" s="86"/>
      <c r="T60" s="20"/>
      <c r="U60" s="6">
        <f t="shared" si="22"/>
        <v>0</v>
      </c>
      <c r="V60" s="86"/>
      <c r="W60" s="20"/>
      <c r="X60" s="6">
        <f t="shared" si="23"/>
        <v>0</v>
      </c>
      <c r="Y60" s="6">
        <f>'OEO-Weatherization'!H59</f>
        <v>0</v>
      </c>
      <c r="Z60" s="6">
        <f>'OEO-Other'!Y59</f>
        <v>0</v>
      </c>
      <c r="AA60" s="6">
        <f>'Transportation Fund'!Y60</f>
        <v>0</v>
      </c>
      <c r="AB60" s="6">
        <f>'Special Purpose '!E58</f>
        <v>0</v>
      </c>
      <c r="AD60" s="20"/>
      <c r="AE60" s="20"/>
      <c r="AF60" s="20"/>
      <c r="AG60" s="6">
        <f t="shared" si="24"/>
        <v>0</v>
      </c>
      <c r="AH60" s="6">
        <f>'911'!H58</f>
        <v>0</v>
      </c>
      <c r="AI60" s="26">
        <f t="shared" si="25"/>
        <v>430737.36</v>
      </c>
    </row>
    <row r="61" spans="1:35" x14ac:dyDescent="0.25">
      <c r="A61" s="2" t="s">
        <v>32</v>
      </c>
      <c r="B61" s="6">
        <f t="shared" ref="B61:G61" si="26">SUM(B55:B60)</f>
        <v>621911.13</v>
      </c>
      <c r="C61" s="6">
        <f t="shared" si="26"/>
        <v>37494.949999999997</v>
      </c>
      <c r="D61" s="6">
        <f t="shared" si="26"/>
        <v>685759.54</v>
      </c>
      <c r="E61" s="17">
        <f t="shared" si="26"/>
        <v>15225.95</v>
      </c>
      <c r="F61" s="17">
        <f t="shared" si="26"/>
        <v>128175</v>
      </c>
      <c r="G61" s="17">
        <f t="shared" si="26"/>
        <v>17795</v>
      </c>
      <c r="I61" s="17">
        <f>SUM(I55:I60)</f>
        <v>33032.36</v>
      </c>
      <c r="J61" s="17">
        <f>SUM(J55:J60)</f>
        <v>0</v>
      </c>
      <c r="K61" s="19">
        <f t="shared" si="17"/>
        <v>33032.36</v>
      </c>
      <c r="L61" s="17">
        <f>SUM(L55:L60)</f>
        <v>45355.74</v>
      </c>
      <c r="M61" s="6">
        <f>SUM(M55:M60)</f>
        <v>0</v>
      </c>
      <c r="N61" s="6">
        <f>SUM(N55:N60)</f>
        <v>4873.38</v>
      </c>
      <c r="O61" s="6">
        <f>SUM(O55:O60)</f>
        <v>4085.86</v>
      </c>
      <c r="P61" s="6">
        <f>SUM(P55:P60)</f>
        <v>0</v>
      </c>
      <c r="Q61" s="16">
        <f t="shared" si="21"/>
        <v>4085.86</v>
      </c>
      <c r="R61" s="6">
        <f t="shared" ref="R61:W61" si="27">SUM(R55:R60)</f>
        <v>298562.36</v>
      </c>
      <c r="S61" s="48">
        <f t="shared" si="27"/>
        <v>328140.05</v>
      </c>
      <c r="T61" s="6">
        <f t="shared" si="27"/>
        <v>0</v>
      </c>
      <c r="U61" s="6">
        <f t="shared" si="27"/>
        <v>328140.05</v>
      </c>
      <c r="V61" s="48">
        <f t="shared" si="27"/>
        <v>151104.41</v>
      </c>
      <c r="W61" s="6">
        <f t="shared" si="27"/>
        <v>0</v>
      </c>
      <c r="X61" s="6">
        <f t="shared" si="23"/>
        <v>151104.41</v>
      </c>
      <c r="Y61" s="6">
        <f>'OEO-Weatherization'!H60</f>
        <v>30546.19</v>
      </c>
      <c r="Z61" s="6">
        <f>'OEO-Other'!Y60</f>
        <v>342133.71</v>
      </c>
      <c r="AA61" s="6">
        <f>'Transportation Fund'!Y61</f>
        <v>1215448.47</v>
      </c>
      <c r="AB61" s="6">
        <f>'Special Purpose '!E59</f>
        <v>57.27</v>
      </c>
      <c r="AD61" s="6">
        <f>SUM(AD55:AD60)</f>
        <v>0</v>
      </c>
      <c r="AE61" s="6">
        <f>SUM(AE55:AE60)</f>
        <v>0</v>
      </c>
      <c r="AF61" s="6">
        <f>SUM(AF55:AF60)</f>
        <v>494427</v>
      </c>
      <c r="AG61" s="6">
        <f t="shared" si="24"/>
        <v>494427</v>
      </c>
      <c r="AH61" s="6">
        <f>'911'!H59</f>
        <v>1835850.39</v>
      </c>
      <c r="AI61" s="26">
        <f t="shared" si="25"/>
        <v>6289978.7599999988</v>
      </c>
    </row>
    <row r="62" spans="1:35" x14ac:dyDescent="0.25">
      <c r="K62" s="19">
        <f t="shared" si="17"/>
        <v>0</v>
      </c>
      <c r="Q62" s="16">
        <f t="shared" si="21"/>
        <v>0</v>
      </c>
      <c r="R62" s="6"/>
      <c r="T62" s="6"/>
      <c r="U62" s="6"/>
      <c r="W62" s="6"/>
      <c r="X62" s="6"/>
      <c r="Y62" s="6"/>
      <c r="Z62" s="6"/>
      <c r="AA62" s="6"/>
      <c r="AB62" s="6"/>
      <c r="AD62" s="6"/>
      <c r="AE62" s="6"/>
      <c r="AF62" s="6"/>
      <c r="AG62" s="6"/>
      <c r="AI62" s="26"/>
    </row>
    <row r="63" spans="1:35" x14ac:dyDescent="0.25">
      <c r="A63" s="2" t="s">
        <v>33</v>
      </c>
      <c r="B63" s="6">
        <f>B52-B61</f>
        <v>49355.470000000088</v>
      </c>
      <c r="C63" s="6">
        <f>C52-C61</f>
        <v>-5754.4699999999975</v>
      </c>
      <c r="D63" s="17">
        <f>'Airport Funds'!I61</f>
        <v>-22418.149999999929</v>
      </c>
      <c r="E63" s="17">
        <f>E52-E61</f>
        <v>13290.64</v>
      </c>
      <c r="F63" s="17">
        <f>F52-F61</f>
        <v>-4002.9400000000023</v>
      </c>
      <c r="G63" s="17">
        <f>G52-G61</f>
        <v>8084.52</v>
      </c>
      <c r="I63" s="17">
        <f>I52-I61</f>
        <v>22609.590000000004</v>
      </c>
      <c r="J63" s="17">
        <f>J52-J61</f>
        <v>0</v>
      </c>
      <c r="K63" s="19">
        <f t="shared" si="17"/>
        <v>22609.590000000004</v>
      </c>
      <c r="L63" s="17">
        <f>L52-L61</f>
        <v>45097.19000000001</v>
      </c>
      <c r="M63" s="6">
        <f>M52-M61</f>
        <v>2558.1200000000003</v>
      </c>
      <c r="N63" s="6">
        <f>N52-N61</f>
        <v>6176.55</v>
      </c>
      <c r="O63" s="6">
        <f>O52-O61</f>
        <v>3330.52</v>
      </c>
      <c r="P63" s="6">
        <f>P52-P61</f>
        <v>0</v>
      </c>
      <c r="Q63" s="16">
        <f t="shared" si="21"/>
        <v>3330.52</v>
      </c>
      <c r="R63" s="6">
        <f>CDBG!H46</f>
        <v>0</v>
      </c>
      <c r="S63" s="48">
        <f>S52-S61</f>
        <v>13558.950000000012</v>
      </c>
      <c r="T63" s="6">
        <f>T52-T61</f>
        <v>0</v>
      </c>
      <c r="U63" s="6">
        <f>U52-U61</f>
        <v>13558.950000000012</v>
      </c>
      <c r="V63" s="48">
        <f>V52-V61</f>
        <v>3702.4199999999837</v>
      </c>
      <c r="W63" s="6">
        <f>W52-W61</f>
        <v>6504</v>
      </c>
      <c r="X63" s="6">
        <f>V63+W63</f>
        <v>10206.419999999984</v>
      </c>
      <c r="Y63" s="6">
        <f>'OEO-Weatherization'!H62</f>
        <v>5929.8100000000013</v>
      </c>
      <c r="Z63" s="6">
        <f>'OEO-Other'!Y62</f>
        <v>-200668.74</v>
      </c>
      <c r="AA63" s="6">
        <f>'Transportation Fund'!Y63</f>
        <v>14262.110000000102</v>
      </c>
      <c r="AB63" s="6">
        <f>'Special Purpose '!E61</f>
        <v>11295.81</v>
      </c>
      <c r="AD63" s="6">
        <f>AD52-AD61</f>
        <v>25.62</v>
      </c>
      <c r="AE63" s="6">
        <f>AE52-AE61</f>
        <v>358550.74</v>
      </c>
      <c r="AF63" s="6">
        <f>AF52-AF61</f>
        <v>-409024</v>
      </c>
      <c r="AG63" s="6">
        <f>AE63+AF63</f>
        <v>-50473.260000000009</v>
      </c>
      <c r="AH63" s="6">
        <f>'911'!H61</f>
        <v>1666.6800000001676</v>
      </c>
      <c r="AI63" s="26">
        <f t="shared" si="25"/>
        <v>-75869.55999999959</v>
      </c>
    </row>
    <row r="64" spans="1:35" x14ac:dyDescent="0.25">
      <c r="K64" s="19">
        <f t="shared" si="17"/>
        <v>0</v>
      </c>
      <c r="Q64" s="16">
        <f t="shared" si="21"/>
        <v>0</v>
      </c>
      <c r="R64" s="6"/>
      <c r="T64" s="6"/>
      <c r="U64" s="6"/>
      <c r="W64" s="6"/>
      <c r="X64" s="6"/>
      <c r="Y64" s="6"/>
      <c r="Z64" s="6"/>
      <c r="AA64" s="6"/>
      <c r="AB64" s="6"/>
      <c r="AD64" s="6"/>
      <c r="AE64" s="6"/>
      <c r="AF64" s="6"/>
      <c r="AG64" s="6"/>
      <c r="AI64" s="26"/>
    </row>
    <row r="65" spans="1:35" x14ac:dyDescent="0.25">
      <c r="A65" t="s">
        <v>301</v>
      </c>
      <c r="B65" s="20"/>
      <c r="C65" s="20"/>
      <c r="D65" s="17">
        <f>'Airport Funds'!I63</f>
        <v>0</v>
      </c>
      <c r="E65" s="20"/>
      <c r="F65" s="20"/>
      <c r="G65" s="20"/>
      <c r="I65" s="20"/>
      <c r="J65" s="20"/>
      <c r="K65" s="19">
        <f t="shared" si="17"/>
        <v>0</v>
      </c>
      <c r="L65" s="20"/>
      <c r="M65" s="20"/>
      <c r="N65" s="20"/>
      <c r="O65" s="20"/>
      <c r="P65" s="20"/>
      <c r="Q65" s="16">
        <f t="shared" si="21"/>
        <v>0</v>
      </c>
      <c r="R65" s="6">
        <f>CDBG!H48</f>
        <v>0</v>
      </c>
      <c r="S65" s="52"/>
      <c r="T65" s="20"/>
      <c r="U65" s="6">
        <f>S65+T65</f>
        <v>0</v>
      </c>
      <c r="V65" s="52"/>
      <c r="W65" s="20"/>
      <c r="X65" s="6">
        <f>V65+W65</f>
        <v>0</v>
      </c>
      <c r="Y65" s="6">
        <f>'OEO-Weatherization'!H64</f>
        <v>0</v>
      </c>
      <c r="Z65" s="6">
        <f>'OEO-Other'!Y64</f>
        <v>0</v>
      </c>
      <c r="AA65" s="6">
        <f>'Transportation Fund'!Y65</f>
        <v>0</v>
      </c>
      <c r="AB65" s="6">
        <f>'Special Purpose '!E63</f>
        <v>0</v>
      </c>
      <c r="AD65" s="20"/>
      <c r="AE65" s="20"/>
      <c r="AF65" s="42"/>
      <c r="AG65" s="25">
        <f>AE65+AF65</f>
        <v>0</v>
      </c>
      <c r="AH65" s="6">
        <f>'911'!H63</f>
        <v>0</v>
      </c>
      <c r="AI65" s="26">
        <f>B65+C65+D65+E65+F65+G65+K65+L65+M65+N65+Q65+R65+U65+X65+Y65+Z65+AA65+AB65+AD65+AG65+AH65</f>
        <v>0</v>
      </c>
    </row>
    <row r="66" spans="1:35" x14ac:dyDescent="0.25">
      <c r="A66" t="s">
        <v>34</v>
      </c>
      <c r="B66" s="20"/>
      <c r="C66" s="20"/>
      <c r="D66" s="17">
        <f>'Airport Funds'!I64</f>
        <v>23150.54</v>
      </c>
      <c r="E66" s="20"/>
      <c r="F66" s="20"/>
      <c r="G66" s="20"/>
      <c r="I66" s="20"/>
      <c r="J66" s="20"/>
      <c r="K66" s="19">
        <f t="shared" si="17"/>
        <v>0</v>
      </c>
      <c r="L66" s="20"/>
      <c r="M66" s="20"/>
      <c r="N66" s="20"/>
      <c r="O66" s="20"/>
      <c r="P66" s="20"/>
      <c r="Q66" s="16">
        <f t="shared" si="21"/>
        <v>0</v>
      </c>
      <c r="R66" s="6">
        <f>CDBG!H49</f>
        <v>0</v>
      </c>
      <c r="S66" s="52"/>
      <c r="T66" s="20"/>
      <c r="U66" s="6">
        <f>S66+T66</f>
        <v>0</v>
      </c>
      <c r="V66" s="52"/>
      <c r="W66" s="20"/>
      <c r="X66" s="6">
        <f>V66+W66</f>
        <v>0</v>
      </c>
      <c r="Y66" s="6">
        <f>'OEO-Weatherization'!H65</f>
        <v>0</v>
      </c>
      <c r="Z66" s="6">
        <f>'OEO-Other'!Y65</f>
        <v>265866.73</v>
      </c>
      <c r="AA66" s="6">
        <f>'Transportation Fund'!Y66</f>
        <v>227.4</v>
      </c>
      <c r="AB66" s="6">
        <f>'Special Purpose '!E64</f>
        <v>0</v>
      </c>
      <c r="AD66" s="20"/>
      <c r="AE66" s="20"/>
      <c r="AF66" s="42">
        <f>208+133487</f>
        <v>133695</v>
      </c>
      <c r="AG66" s="25">
        <f>AE66+AF66</f>
        <v>133695</v>
      </c>
      <c r="AH66" s="6">
        <f>'911'!H64</f>
        <v>1837495.76</v>
      </c>
      <c r="AI66" s="26">
        <f t="shared" ref="AI66:AI68" si="28">B66+C66+D66+E66+F66+G66+K66+L66+M66+N66+Q66+R66+U66+X66+Y66+Z66+AA66+AB66+AD66+AG66+AH66</f>
        <v>2260435.4300000002</v>
      </c>
    </row>
    <row r="67" spans="1:35" x14ac:dyDescent="0.25">
      <c r="A67" t="s">
        <v>35</v>
      </c>
      <c r="B67" s="20"/>
      <c r="C67" s="20"/>
      <c r="D67" s="17">
        <f>'Airport Funds'!I65</f>
        <v>173150.54</v>
      </c>
      <c r="E67" s="20"/>
      <c r="F67" s="20"/>
      <c r="G67" s="20"/>
      <c r="I67" s="20"/>
      <c r="J67" s="20"/>
      <c r="K67" s="19">
        <f t="shared" si="17"/>
        <v>0</v>
      </c>
      <c r="L67" s="20"/>
      <c r="M67" s="20"/>
      <c r="N67" s="20"/>
      <c r="O67" s="20"/>
      <c r="P67" s="20"/>
      <c r="Q67" s="16">
        <f t="shared" si="21"/>
        <v>0</v>
      </c>
      <c r="R67" s="6">
        <f>CDBG!H50</f>
        <v>0</v>
      </c>
      <c r="S67" s="52">
        <v>13559.42</v>
      </c>
      <c r="T67" s="20"/>
      <c r="U67" s="6">
        <f>S67+T67</f>
        <v>13559.42</v>
      </c>
      <c r="V67" s="52">
        <v>10207.790000000001</v>
      </c>
      <c r="W67" s="20"/>
      <c r="X67" s="6">
        <f>V67+W67</f>
        <v>10207.790000000001</v>
      </c>
      <c r="Y67" s="6">
        <f>'OEO-Weatherization'!H66</f>
        <v>5929.85</v>
      </c>
      <c r="Z67" s="6">
        <f>'OEO-Other'!Y66</f>
        <v>76326.100000000006</v>
      </c>
      <c r="AA67" s="6">
        <f>'Transportation Fund'!Y67</f>
        <v>14490.74</v>
      </c>
      <c r="AB67" s="6">
        <f>'Special Purpose '!E65</f>
        <v>0</v>
      </c>
      <c r="AD67" s="20"/>
      <c r="AE67" s="20">
        <v>398396.8</v>
      </c>
      <c r="AF67" s="42">
        <f>280-336179</f>
        <v>-335899</v>
      </c>
      <c r="AG67" s="25">
        <f>AE67+AF67</f>
        <v>62497.799999999988</v>
      </c>
      <c r="AH67" s="6">
        <f>'911'!H65</f>
        <v>1837495.76</v>
      </c>
      <c r="AI67" s="26">
        <f t="shared" si="28"/>
        <v>2193658</v>
      </c>
    </row>
    <row r="68" spans="1:35" ht="15" customHeight="1" x14ac:dyDescent="0.25">
      <c r="A68" s="2" t="s">
        <v>36</v>
      </c>
      <c r="B68" s="6">
        <f>B66-B67</f>
        <v>0</v>
      </c>
      <c r="C68" s="6">
        <f>C66-C67</f>
        <v>0</v>
      </c>
      <c r="D68" s="17">
        <f>'Airport Funds'!I66</f>
        <v>-150000</v>
      </c>
      <c r="E68" s="17">
        <f>E66-E67</f>
        <v>0</v>
      </c>
      <c r="F68" s="17">
        <f>F66-F67</f>
        <v>0</v>
      </c>
      <c r="G68" s="17">
        <f>G66-G67</f>
        <v>0</v>
      </c>
      <c r="I68" s="17">
        <f>I66-I67</f>
        <v>0</v>
      </c>
      <c r="J68" s="17">
        <f>J66-J67</f>
        <v>0</v>
      </c>
      <c r="K68" s="19">
        <f t="shared" si="17"/>
        <v>0</v>
      </c>
      <c r="L68" s="17">
        <f>L66-L67</f>
        <v>0</v>
      </c>
      <c r="M68" s="6">
        <f>M66-M67</f>
        <v>0</v>
      </c>
      <c r="N68" s="6">
        <f>N66-N67</f>
        <v>0</v>
      </c>
      <c r="O68" s="6">
        <f>O66-O67</f>
        <v>0</v>
      </c>
      <c r="P68" s="6">
        <f>P66-P67</f>
        <v>0</v>
      </c>
      <c r="Q68" s="16">
        <f t="shared" si="21"/>
        <v>0</v>
      </c>
      <c r="R68" s="6">
        <f>CDBG!H51</f>
        <v>0</v>
      </c>
      <c r="S68" s="48">
        <f>S66-S67</f>
        <v>-13559.42</v>
      </c>
      <c r="T68" s="6">
        <f>T66-T67</f>
        <v>0</v>
      </c>
      <c r="U68" s="6">
        <f>S68+T68</f>
        <v>-13559.42</v>
      </c>
      <c r="V68" s="48">
        <f>V66-V67</f>
        <v>-10207.790000000001</v>
      </c>
      <c r="W68" s="6">
        <f>W66-W67</f>
        <v>0</v>
      </c>
      <c r="X68" s="6">
        <f>V68+W68</f>
        <v>-10207.790000000001</v>
      </c>
      <c r="Y68" s="6">
        <f>'OEO-Weatherization'!H67</f>
        <v>-5929.85</v>
      </c>
      <c r="Z68" s="6">
        <f>'OEO-Other'!Y67</f>
        <v>189540.62999999998</v>
      </c>
      <c r="AA68" s="6">
        <f>'Transportation Fund'!Y68</f>
        <v>-14263.34</v>
      </c>
      <c r="AB68" s="6">
        <f>'Special Purpose '!E66</f>
        <v>0</v>
      </c>
      <c r="AD68" s="6">
        <f>AD66-AD67</f>
        <v>0</v>
      </c>
      <c r="AE68" s="6">
        <f>AE66-AE67</f>
        <v>-398396.8</v>
      </c>
      <c r="AF68" s="6">
        <f>AF65+AF66-AF67</f>
        <v>469594</v>
      </c>
      <c r="AG68" s="6">
        <f>AE68+AF68</f>
        <v>71197.200000000012</v>
      </c>
      <c r="AH68" s="6">
        <f>'911'!H66</f>
        <v>0</v>
      </c>
      <c r="AI68" s="26">
        <f t="shared" si="28"/>
        <v>66777.429999999964</v>
      </c>
    </row>
    <row r="69" spans="1:35" x14ac:dyDescent="0.25">
      <c r="K69" s="19"/>
      <c r="Q69" s="16"/>
      <c r="R69" s="6"/>
      <c r="T69" s="6"/>
      <c r="U69" s="6"/>
      <c r="W69" s="6"/>
      <c r="X69" s="6"/>
      <c r="Y69" s="6"/>
      <c r="Z69" s="6"/>
      <c r="AA69" s="6"/>
      <c r="AB69" s="6"/>
      <c r="AD69" s="6"/>
      <c r="AE69" s="6"/>
      <c r="AF69" s="6"/>
      <c r="AG69" s="6"/>
      <c r="AI69" s="26"/>
    </row>
    <row r="70" spans="1:35" x14ac:dyDescent="0.25">
      <c r="A70" s="2" t="s">
        <v>37</v>
      </c>
      <c r="B70" s="6">
        <f>B63+B68</f>
        <v>49355.470000000088</v>
      </c>
      <c r="C70" s="6">
        <f>C63+C68</f>
        <v>-5754.4699999999975</v>
      </c>
      <c r="D70" s="17">
        <f>'Airport Funds'!I68</f>
        <v>-172418.14999999997</v>
      </c>
      <c r="E70" s="17">
        <f>E63+E68</f>
        <v>13290.64</v>
      </c>
      <c r="F70" s="17">
        <f>F63+F68</f>
        <v>-4002.9400000000023</v>
      </c>
      <c r="G70" s="17">
        <f>G63+G68</f>
        <v>8084.52</v>
      </c>
      <c r="I70" s="17">
        <f>I63+I68</f>
        <v>22609.590000000004</v>
      </c>
      <c r="J70" s="17">
        <f>J63+J68</f>
        <v>0</v>
      </c>
      <c r="K70" s="19">
        <f>SUM(I70:J70)</f>
        <v>22609.590000000004</v>
      </c>
      <c r="L70" s="17">
        <f>L63+L68</f>
        <v>45097.19000000001</v>
      </c>
      <c r="M70" s="6">
        <f>M63+M68</f>
        <v>2558.1200000000003</v>
      </c>
      <c r="N70" s="6">
        <f>N63+N68</f>
        <v>6176.55</v>
      </c>
      <c r="O70" s="6">
        <f>O63+O68</f>
        <v>3330.52</v>
      </c>
      <c r="P70" s="6">
        <f>P63+P68</f>
        <v>0</v>
      </c>
      <c r="Q70" s="16">
        <f>SUM(O70:P70)</f>
        <v>3330.52</v>
      </c>
      <c r="R70" s="6">
        <f>CDBG!H53</f>
        <v>0</v>
      </c>
      <c r="S70" s="48">
        <f t="shared" ref="S70:X70" si="29">S63+S68</f>
        <v>-0.46999999998843123</v>
      </c>
      <c r="T70" s="6">
        <f t="shared" si="29"/>
        <v>0</v>
      </c>
      <c r="U70" s="6">
        <f t="shared" si="29"/>
        <v>-0.46999999998843123</v>
      </c>
      <c r="V70" s="48">
        <f t="shared" si="29"/>
        <v>-6505.3700000000172</v>
      </c>
      <c r="W70" s="6">
        <f t="shared" si="29"/>
        <v>6504</v>
      </c>
      <c r="X70" s="6">
        <f t="shared" si="29"/>
        <v>-1.3700000000171713</v>
      </c>
      <c r="Y70" s="6">
        <f>'OEO-Weatherization'!H69</f>
        <v>-3.9999999999054126E-2</v>
      </c>
      <c r="Z70" s="6">
        <f>'OEO-Other'!Y69</f>
        <v>-11128.110000000015</v>
      </c>
      <c r="AA70" s="6">
        <f>'Transportation Fund'!Y70</f>
        <v>-1.2299999998977</v>
      </c>
      <c r="AB70" s="6">
        <f>'Special Purpose '!E68</f>
        <v>11295.81</v>
      </c>
      <c r="AD70" s="6">
        <f>AD63+AD68</f>
        <v>25.62</v>
      </c>
      <c r="AE70" s="6">
        <f>AE63+AE68</f>
        <v>-39846.06</v>
      </c>
      <c r="AF70" s="6">
        <f>AF63+AF68</f>
        <v>60570</v>
      </c>
      <c r="AG70" s="6">
        <f>AG63+AG68</f>
        <v>20723.940000000002</v>
      </c>
      <c r="AH70" s="6">
        <f>'911'!H68</f>
        <v>1666.6800000001676</v>
      </c>
      <c r="AI70" s="26">
        <f>B70+C70+D70+E70+F70+G70+K70+L70+M70+N70+Q70+R70+U70+X70+Y70+Z70+AA70+AB70+AD70+AG70+AH70</f>
        <v>-9092.1299999996227</v>
      </c>
    </row>
    <row r="71" spans="1:35" x14ac:dyDescent="0.25">
      <c r="A71" t="s">
        <v>38</v>
      </c>
      <c r="B71" s="6">
        <f>B72-B70</f>
        <v>1150239.8700000001</v>
      </c>
      <c r="C71" s="6">
        <f>C72-C70</f>
        <v>27544.989999999998</v>
      </c>
      <c r="D71" s="17">
        <f>'Airport Funds'!I69</f>
        <v>181106.61999999994</v>
      </c>
      <c r="E71" s="17">
        <f>E72-E70</f>
        <v>53565.16</v>
      </c>
      <c r="F71" s="17">
        <f>F72-F70</f>
        <v>296282.21000000002</v>
      </c>
      <c r="G71" s="17">
        <f>G72-G70</f>
        <v>11685</v>
      </c>
      <c r="I71" s="17">
        <f>I72-I70</f>
        <v>267209.67</v>
      </c>
      <c r="J71" s="17">
        <f>J72-J70</f>
        <v>0</v>
      </c>
      <c r="K71" s="19">
        <f>SUM(I71:J71)</f>
        <v>267209.67</v>
      </c>
      <c r="L71" s="17">
        <f>L72-L70</f>
        <v>400010.48</v>
      </c>
      <c r="M71" s="6">
        <f>M72-M70</f>
        <v>6018.66</v>
      </c>
      <c r="N71" s="6">
        <f>N72-N70</f>
        <v>22187.37</v>
      </c>
      <c r="O71" s="6">
        <f>O72-O70</f>
        <v>24617</v>
      </c>
      <c r="P71" s="6">
        <f>P72-P70</f>
        <v>0</v>
      </c>
      <c r="Q71" s="16">
        <f>SUM(O71:P71)</f>
        <v>24617</v>
      </c>
      <c r="R71" s="6">
        <f>CDBG!H54</f>
        <v>-0.14999999999997726</v>
      </c>
      <c r="S71" s="48">
        <f t="shared" ref="S71:X71" si="30">S72-S70</f>
        <v>0.52999999998843128</v>
      </c>
      <c r="T71" s="6">
        <f t="shared" si="30"/>
        <v>0</v>
      </c>
      <c r="U71" s="6">
        <f t="shared" si="30"/>
        <v>0.52999999998843128</v>
      </c>
      <c r="V71" s="48">
        <f t="shared" si="30"/>
        <v>0.28000000001702574</v>
      </c>
      <c r="W71" s="6">
        <f t="shared" si="30"/>
        <v>0</v>
      </c>
      <c r="X71" s="6">
        <f t="shared" si="30"/>
        <v>0.28000000001702574</v>
      </c>
      <c r="Y71" s="6">
        <f>'OEO-Weatherization'!H70</f>
        <v>-0.26000000000021828</v>
      </c>
      <c r="Z71" s="6">
        <f>'OEO-Other'!Y70</f>
        <v>28494.970000000012</v>
      </c>
      <c r="AA71" s="6">
        <f>'Transportation Fund'!Y71</f>
        <v>1.1099999998987187</v>
      </c>
      <c r="AB71" s="6">
        <f>'Special Purpose '!E69</f>
        <v>153529.01</v>
      </c>
      <c r="AD71" s="6">
        <f>AD72-AD70</f>
        <v>10759.81</v>
      </c>
      <c r="AE71" s="6">
        <f>AE72-AE70</f>
        <v>732958.73</v>
      </c>
      <c r="AF71" s="6">
        <f>AF72-AF70</f>
        <v>0</v>
      </c>
      <c r="AG71" s="6">
        <f>AG72-AG70</f>
        <v>732958.73</v>
      </c>
      <c r="AH71" s="6">
        <f>'911'!H69</f>
        <v>25025.839999999833</v>
      </c>
      <c r="AI71" s="26">
        <f t="shared" ref="AI71:AI72" si="31">B71+C71+D71+E71+F71+G71+K71+L71+M71+N71+Q71+R71+U71+X71+Y71+Z71+AA71+AB71+AD71+AG71+AH71</f>
        <v>3391236.9000000004</v>
      </c>
    </row>
    <row r="72" spans="1:35" x14ac:dyDescent="0.25">
      <c r="A72" s="2" t="s">
        <v>39</v>
      </c>
      <c r="B72" s="6">
        <f>B42</f>
        <v>1199595.3400000001</v>
      </c>
      <c r="C72" s="6">
        <f>C42</f>
        <v>21790.52</v>
      </c>
      <c r="D72" s="17">
        <f>'Airport Funds'!I70</f>
        <v>8688.4699999999939</v>
      </c>
      <c r="E72" s="17">
        <f>E42</f>
        <v>66855.8</v>
      </c>
      <c r="F72" s="17">
        <f>F42</f>
        <v>292279.27</v>
      </c>
      <c r="G72" s="17">
        <f>G42</f>
        <v>19769.52</v>
      </c>
      <c r="I72" s="17">
        <f>I42</f>
        <v>289819.26</v>
      </c>
      <c r="J72" s="17">
        <f>J42</f>
        <v>0</v>
      </c>
      <c r="K72" s="19">
        <f>SUM(I72:J72)</f>
        <v>289819.26</v>
      </c>
      <c r="L72" s="17">
        <f>L42</f>
        <v>445107.67</v>
      </c>
      <c r="M72" s="6">
        <f>M42</f>
        <v>8576.7800000000007</v>
      </c>
      <c r="N72" s="6">
        <f>N42</f>
        <v>28363.919999999998</v>
      </c>
      <c r="O72" s="6">
        <f>O42</f>
        <v>27947.52</v>
      </c>
      <c r="P72" s="6">
        <f>P42</f>
        <v>0</v>
      </c>
      <c r="Q72" s="16">
        <f>SUM(O72:P72)</f>
        <v>27947.52</v>
      </c>
      <c r="R72" s="6">
        <f>CDBG!H55</f>
        <v>-0.14999999999997726</v>
      </c>
      <c r="S72" s="48">
        <f t="shared" ref="S72:X72" si="32">S42</f>
        <v>0.06</v>
      </c>
      <c r="T72" s="6">
        <f t="shared" si="32"/>
        <v>0</v>
      </c>
      <c r="U72" s="6">
        <f t="shared" si="32"/>
        <v>0.06</v>
      </c>
      <c r="V72" s="48">
        <f t="shared" si="32"/>
        <v>-6505.09</v>
      </c>
      <c r="W72" s="6">
        <f t="shared" si="32"/>
        <v>6504</v>
      </c>
      <c r="X72" s="6">
        <f t="shared" si="32"/>
        <v>-1.0900000000001455</v>
      </c>
      <c r="Y72" s="6">
        <f>'OEO-Weatherization'!H71</f>
        <v>-0.2999999999992724</v>
      </c>
      <c r="Z72" s="6">
        <f>'OEO-Other'!Y71</f>
        <v>17366.859999999997</v>
      </c>
      <c r="AA72" s="6">
        <f>'Transportation Fund'!Y72</f>
        <v>-0.11999999999898137</v>
      </c>
      <c r="AB72" s="6">
        <f>'Special Purpose '!E70</f>
        <v>164824.82</v>
      </c>
      <c r="AD72" s="6">
        <f>AD42</f>
        <v>10785.43</v>
      </c>
      <c r="AE72" s="6">
        <f>AE42</f>
        <v>693112.67</v>
      </c>
      <c r="AF72" s="6">
        <f>AF42</f>
        <v>60570</v>
      </c>
      <c r="AG72" s="6">
        <f>AG42</f>
        <v>753682.67</v>
      </c>
      <c r="AH72" s="6">
        <f>'911'!H70</f>
        <v>26692.52</v>
      </c>
      <c r="AI72" s="26">
        <f t="shared" si="31"/>
        <v>3382144.77</v>
      </c>
    </row>
  </sheetData>
  <customSheetViews>
    <customSheetView guid="{E68B3865-8D72-47E7-BE32-0FF7EB09E889}" showPageBreaks="1" fitToPage="1">
      <pane xSplit="1" ySplit="6" topLeftCell="Z44" activePane="bottomRight" state="frozen"/>
      <selection pane="bottomRight" activeCell="B5" sqref="B5:AH5"/>
      <pageMargins left="0.25" right="0.38" top="0.75" bottom="0.75" header="0.3" footer="0.3"/>
      <pageSetup scale="45" fitToWidth="2" orientation="landscape" horizontalDpi="1200" r:id="rId1"/>
    </customSheetView>
    <customSheetView guid="{2B2709E2-6DF4-4CC4-88D0-056FB306137C}" showPageBreaks="1" fitToPage="1">
      <pane xSplit="1" ySplit="6" topLeftCell="U34" activePane="bottomRight" state="frozen"/>
      <selection pane="bottomRight" activeCell="AE49" sqref="AE49"/>
      <pageMargins left="0.25" right="0.38" top="0.75" bottom="0.75" header="0.3" footer="0.3"/>
      <pageSetup scale="45" fitToWidth="2" orientation="landscape" horizontalDpi="1200" r:id="rId2"/>
    </customSheetView>
    <customSheetView guid="{EC03C3C8-7E57-47C6-8413-F484E8C46A0C}" showPageBreaks="1" fitToPage="1">
      <pane xSplit="1" ySplit="6" topLeftCell="X48" activePane="bottomRight" state="frozen"/>
      <selection pane="bottomRight" activeCell="V53" sqref="V53:W53"/>
      <pageMargins left="0.25" right="0.38" top="0.75" bottom="0.75" header="0.3" footer="0.3"/>
      <pageSetup scale="51" fitToWidth="2" orientation="landscape" horizontalDpi="1200" r:id="rId3"/>
    </customSheetView>
    <customSheetView guid="{D62C3EC3-27D1-41F3-9A4E-06307CA202CE}" showPageBreaks="1" fitToPage="1" showRuler="0">
      <pane xSplit="1" ySplit="6" topLeftCell="Z7" activePane="bottomRight" state="frozen"/>
      <selection pane="bottomRight" activeCell="AC18" sqref="AC18"/>
      <pageMargins left="0.25" right="0.38" top="0.75" bottom="0.75" header="0.3" footer="0.3"/>
      <pageSetup scale="59" fitToWidth="2" orientation="landscape" horizontalDpi="1200" r:id="rId4"/>
      <headerFooter alignWithMargins="0"/>
    </customSheetView>
    <customSheetView guid="{A6F79E61-D6A3-44FD-B4A4-4724DF74349B}" showPageBreaks="1" fitToPage="1">
      <pane xSplit="1" ySplit="6" topLeftCell="S34" activePane="bottomRight" state="frozen"/>
      <selection pane="bottomRight" activeCell="AL48" sqref="AL48"/>
      <pageMargins left="0.25" right="0.38" top="0.75" bottom="0.75" header="0.3" footer="0.3"/>
      <pageSetup scale="45" fitToWidth="2" orientation="landscape" horizontalDpi="1200" r:id="rId5"/>
    </customSheetView>
    <customSheetView guid="{DE6E911D-85BF-467A-AA00-1E84C5349CF7}" showPageBreaks="1" fitToPage="1">
      <pane xSplit="1" ySplit="6" topLeftCell="B20" activePane="bottomRight" state="frozen"/>
      <selection pane="bottomRight" activeCell="H40" sqref="H40"/>
      <pageMargins left="0.25" right="0.38" top="0.75" bottom="0.75" header="0.3" footer="0.3"/>
      <pageSetup scale="45" fitToWidth="2" orientation="landscape" r:id="rId6"/>
    </customSheetView>
  </customSheetViews>
  <phoneticPr fontId="0" type="noConversion"/>
  <pageMargins left="0.25" right="0.38" top="0.75" bottom="0.75" header="0.3" footer="0.3"/>
  <pageSetup scale="45" fitToWidth="2" orientation="landscape" horizontalDpi="1200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7"/>
  <sheetViews>
    <sheetView tabSelected="1" topLeftCell="A149" workbookViewId="0">
      <selection activeCell="A166" sqref="A166"/>
    </sheetView>
  </sheetViews>
  <sheetFormatPr defaultRowHeight="15" x14ac:dyDescent="0.25"/>
  <cols>
    <col min="1" max="1" width="36.28515625" customWidth="1"/>
    <col min="2" max="6" width="21.28515625" style="48" customWidth="1"/>
    <col min="7" max="7" width="14" bestFit="1" customWidth="1"/>
    <col min="8" max="8" width="17" customWidth="1"/>
    <col min="9" max="9" width="21.140625" customWidth="1"/>
    <col min="10" max="11" width="15.140625" style="48" customWidth="1"/>
    <col min="12" max="12" width="18.140625" style="48" customWidth="1"/>
    <col min="13" max="13" width="17.42578125" style="48" customWidth="1"/>
    <col min="14" max="14" width="16.5703125" style="48" customWidth="1"/>
    <col min="15" max="15" width="16.140625" style="48" customWidth="1"/>
    <col min="16" max="16" width="17.28515625" style="48" customWidth="1"/>
    <col min="17" max="17" width="17.42578125" style="48" customWidth="1"/>
    <col min="18" max="18" width="16.42578125" style="48" customWidth="1"/>
    <col min="19" max="21" width="15.28515625" style="48" customWidth="1"/>
    <col min="22" max="46" width="15.7109375" style="48" customWidth="1"/>
    <col min="47" max="48" width="15.7109375" customWidth="1"/>
  </cols>
  <sheetData>
    <row r="1" spans="1:6" ht="23.25" x14ac:dyDescent="0.35">
      <c r="A1" s="141" t="s">
        <v>451</v>
      </c>
    </row>
    <row r="2" spans="1:6" x14ac:dyDescent="0.25">
      <c r="A2" t="s">
        <v>452</v>
      </c>
      <c r="B2" s="48">
        <f>'ALL GOVERNMENT FUNDS'!A3</f>
        <v>43435</v>
      </c>
    </row>
    <row r="4" spans="1:6" ht="30" x14ac:dyDescent="0.25">
      <c r="C4" s="170" t="s">
        <v>465</v>
      </c>
      <c r="D4" s="166"/>
      <c r="E4" s="170"/>
      <c r="F4" s="171" t="s">
        <v>466</v>
      </c>
    </row>
    <row r="5" spans="1:6" ht="30.75" customHeight="1" x14ac:dyDescent="0.25">
      <c r="A5" s="169" t="s">
        <v>453</v>
      </c>
      <c r="B5" s="166" t="s">
        <v>119</v>
      </c>
      <c r="C5" s="172" t="s">
        <v>461</v>
      </c>
      <c r="D5" s="172" t="s">
        <v>462</v>
      </c>
      <c r="E5" s="172" t="s">
        <v>463</v>
      </c>
      <c r="F5" s="172" t="s">
        <v>464</v>
      </c>
    </row>
    <row r="6" spans="1:6" ht="30.75" customHeight="1" x14ac:dyDescent="0.25">
      <c r="A6" s="77" t="s">
        <v>454</v>
      </c>
    </row>
    <row r="7" spans="1:6" ht="30.75" customHeight="1" x14ac:dyDescent="0.25">
      <c r="A7" t="s">
        <v>455</v>
      </c>
    </row>
    <row r="8" spans="1:6" ht="30.75" customHeight="1" x14ac:dyDescent="0.25">
      <c r="A8" t="s">
        <v>456</v>
      </c>
      <c r="B8" s="48">
        <f>'Front Stmts'!R83</f>
        <v>7646218.0200000014</v>
      </c>
      <c r="C8" s="48">
        <f>C99+W166</f>
        <v>775223.90000000014</v>
      </c>
      <c r="D8" s="48">
        <f>C162+W167</f>
        <v>1468830.85</v>
      </c>
      <c r="F8" s="48">
        <f>-B8+C8+D8+E8</f>
        <v>-5402163.2700000014</v>
      </c>
    </row>
    <row r="9" spans="1:6" ht="30.75" customHeight="1" x14ac:dyDescent="0.25">
      <c r="A9" t="s">
        <v>457</v>
      </c>
      <c r="B9" s="48">
        <f>'Front Stmts'!R84</f>
        <v>3991047.2700000005</v>
      </c>
      <c r="C9" s="48">
        <f>D99+S166+T166+U166+V166+X166+AF166+AG166</f>
        <v>1294847.5299999998</v>
      </c>
      <c r="D9" s="48">
        <f>D162+S167+T167+U167+V167+X167+AF167+AG167</f>
        <v>988813.63000000012</v>
      </c>
      <c r="F9" s="48">
        <f t="shared" ref="F9:F15" si="0">-B9+C9+D9+E9</f>
        <v>-1707386.1100000006</v>
      </c>
    </row>
    <row r="10" spans="1:6" ht="30.75" customHeight="1" x14ac:dyDescent="0.25">
      <c r="A10" t="s">
        <v>29</v>
      </c>
      <c r="B10" s="48">
        <f>'Front Stmts'!R85</f>
        <v>7319400.1299999999</v>
      </c>
      <c r="C10" s="48">
        <f>E99+Q166+AH166</f>
        <v>55756.25</v>
      </c>
      <c r="D10" s="48">
        <f>E162+Q167+AH167</f>
        <v>2218182.38</v>
      </c>
      <c r="F10" s="48">
        <f t="shared" si="0"/>
        <v>-5045461.5</v>
      </c>
    </row>
    <row r="11" spans="1:6" ht="30.75" customHeight="1" x14ac:dyDescent="0.25">
      <c r="A11" t="s">
        <v>458</v>
      </c>
      <c r="B11" s="48">
        <f>'Front Stmts'!R86</f>
        <v>2436945.77</v>
      </c>
      <c r="C11" s="48">
        <f>F99+N166+P166+R166</f>
        <v>567019.53</v>
      </c>
      <c r="D11" s="48">
        <f>F162+N167+P167+R167</f>
        <v>1137051.9100000001</v>
      </c>
      <c r="F11" s="48">
        <f t="shared" si="0"/>
        <v>-732874.32999999984</v>
      </c>
    </row>
    <row r="12" spans="1:6" ht="30.75" customHeight="1" x14ac:dyDescent="0.25">
      <c r="A12" t="s">
        <v>31</v>
      </c>
      <c r="B12" s="48">
        <f>'Front Stmts'!R87</f>
        <v>28174981.640000004</v>
      </c>
      <c r="C12" s="48">
        <f>G99+J166+M166+O166+Y166+Z166+AA166+AB166+AC166+AD166</f>
        <v>177392.84000000005</v>
      </c>
      <c r="D12" s="48">
        <f>G162+J167+M167+O167+Y167+Z167+AA167+AB167+AC167+AD167</f>
        <v>27888244.560000002</v>
      </c>
      <c r="F12" s="48">
        <f t="shared" si="0"/>
        <v>-109344.24000000209</v>
      </c>
    </row>
    <row r="13" spans="1:6" ht="30.75" customHeight="1" x14ac:dyDescent="0.25">
      <c r="A13" t="s">
        <v>63</v>
      </c>
      <c r="B13" s="48">
        <f>'Front Stmts'!R88</f>
        <v>1091479.79</v>
      </c>
      <c r="C13" s="48">
        <f>H99</f>
        <v>16883</v>
      </c>
      <c r="D13" s="48">
        <f>H162</f>
        <v>0</v>
      </c>
      <c r="F13" s="48">
        <f t="shared" si="0"/>
        <v>-1074596.79</v>
      </c>
    </row>
    <row r="14" spans="1:6" ht="30.75" customHeight="1" x14ac:dyDescent="0.25">
      <c r="A14" t="s">
        <v>459</v>
      </c>
      <c r="B14" s="48">
        <f>'Front Stmts'!R89</f>
        <v>357706.19</v>
      </c>
      <c r="C14" s="48">
        <f>I99</f>
        <v>72800.399999999994</v>
      </c>
      <c r="D14" s="48">
        <f>I162</f>
        <v>60456.2</v>
      </c>
      <c r="F14" s="48">
        <f t="shared" si="0"/>
        <v>-224449.59000000003</v>
      </c>
    </row>
    <row r="15" spans="1:6" ht="30.75" customHeight="1" x14ac:dyDescent="0.25">
      <c r="A15" t="s">
        <v>23</v>
      </c>
      <c r="B15" s="48">
        <f>'Front Stmts'!R90</f>
        <v>22000</v>
      </c>
      <c r="F15" s="48">
        <f t="shared" si="0"/>
        <v>-22000</v>
      </c>
    </row>
    <row r="17" spans="1:6" ht="15.75" thickBot="1" x14ac:dyDescent="0.3">
      <c r="A17" t="s">
        <v>460</v>
      </c>
      <c r="B17" s="173">
        <f>SUM(B6:B16)</f>
        <v>51039778.810000002</v>
      </c>
      <c r="C17" s="173">
        <f t="shared" ref="C17:F17" si="1">SUM(C6:C16)</f>
        <v>2959923.4499999997</v>
      </c>
      <c r="D17" s="173">
        <f t="shared" si="1"/>
        <v>33761579.530000009</v>
      </c>
      <c r="E17" s="173">
        <f t="shared" si="1"/>
        <v>0</v>
      </c>
      <c r="F17" s="173">
        <f t="shared" si="1"/>
        <v>-14318275.830000006</v>
      </c>
    </row>
    <row r="18" spans="1:6" ht="15.75" thickTop="1" x14ac:dyDescent="0.25"/>
    <row r="20" spans="1:6" x14ac:dyDescent="0.25">
      <c r="D20" s="149" t="s">
        <v>467</v>
      </c>
    </row>
    <row r="21" spans="1:6" x14ac:dyDescent="0.25">
      <c r="D21" s="48" t="s">
        <v>468</v>
      </c>
      <c r="F21" s="48">
        <f>'Front Stmts'!R72-F22</f>
        <v>11460062.93</v>
      </c>
    </row>
    <row r="22" spans="1:6" x14ac:dyDescent="0.25">
      <c r="D22" s="48" t="s">
        <v>469</v>
      </c>
      <c r="F22" s="48">
        <f>'General Fund - Revenue'!G64+'General Fund - Revenue'!H64</f>
        <v>308986.83999999997</v>
      </c>
    </row>
    <row r="23" spans="1:6" x14ac:dyDescent="0.25">
      <c r="D23" s="48" t="s">
        <v>470</v>
      </c>
      <c r="F23" s="48">
        <f>'Front Stmts'!R77</f>
        <v>56477.66</v>
      </c>
    </row>
    <row r="24" spans="1:6" x14ac:dyDescent="0.25">
      <c r="D24" s="48" t="s">
        <v>202</v>
      </c>
      <c r="F24" s="48">
        <f>'Front Stmts'!R76</f>
        <v>393705.7300000001</v>
      </c>
    </row>
    <row r="25" spans="1:6" x14ac:dyDescent="0.25">
      <c r="D25" s="48" t="s">
        <v>113</v>
      </c>
      <c r="F25" s="48">
        <f>'Front Stmts'!R73</f>
        <v>36683.5</v>
      </c>
    </row>
    <row r="26" spans="1:6" x14ac:dyDescent="0.25">
      <c r="D26" s="48" t="s">
        <v>117</v>
      </c>
      <c r="F26" s="48">
        <f>'Front Stmts'!R78</f>
        <v>0</v>
      </c>
    </row>
    <row r="27" spans="1:6" x14ac:dyDescent="0.25">
      <c r="D27" s="48" t="s">
        <v>494</v>
      </c>
      <c r="F27" s="48">
        <f>'Front Stmts'!R79</f>
        <v>422130.82999999996</v>
      </c>
    </row>
    <row r="28" spans="1:6" x14ac:dyDescent="0.25">
      <c r="D28" s="48" t="s">
        <v>471</v>
      </c>
      <c r="F28" s="48">
        <f>'Front Stmts'!R95</f>
        <v>12908.84</v>
      </c>
    </row>
    <row r="30" spans="1:6" x14ac:dyDescent="0.25">
      <c r="D30" s="149" t="s">
        <v>472</v>
      </c>
      <c r="F30" s="115">
        <f>SUM(F20:F29)</f>
        <v>12690956.33</v>
      </c>
    </row>
    <row r="32" spans="1:6" x14ac:dyDescent="0.25">
      <c r="D32" s="149" t="s">
        <v>473</v>
      </c>
      <c r="F32" s="48">
        <f>F30+F17</f>
        <v>-1627319.5000000056</v>
      </c>
    </row>
    <row r="34" spans="1:46" x14ac:dyDescent="0.25">
      <c r="D34" s="149" t="s">
        <v>474</v>
      </c>
    </row>
    <row r="35" spans="1:46" x14ac:dyDescent="0.25">
      <c r="D35" s="48" t="s">
        <v>475</v>
      </c>
      <c r="F35" s="180">
        <v>42656354</v>
      </c>
    </row>
    <row r="36" spans="1:46" x14ac:dyDescent="0.25">
      <c r="D36" s="48" t="s">
        <v>476</v>
      </c>
      <c r="F36" s="48">
        <f>F35+F32</f>
        <v>41029034.499999993</v>
      </c>
    </row>
    <row r="39" spans="1:46" x14ac:dyDescent="0.25">
      <c r="A39" s="48"/>
      <c r="F39"/>
      <c r="I39" s="48"/>
      <c r="AT39"/>
    </row>
    <row r="40" spans="1:46" ht="21" x14ac:dyDescent="0.35">
      <c r="A40" s="189" t="s">
        <v>497</v>
      </c>
      <c r="C40" s="204" t="s">
        <v>499</v>
      </c>
      <c r="D40" s="150"/>
      <c r="E40" s="150"/>
      <c r="F40" s="150"/>
      <c r="G40" s="150"/>
      <c r="H40" s="150"/>
      <c r="I40" s="150"/>
      <c r="AT40"/>
    </row>
    <row r="41" spans="1:46" x14ac:dyDescent="0.25">
      <c r="A41" s="48"/>
      <c r="C41" s="149" t="s">
        <v>120</v>
      </c>
      <c r="D41" s="149" t="s">
        <v>121</v>
      </c>
      <c r="E41" s="149" t="s">
        <v>122</v>
      </c>
      <c r="F41" s="149" t="s">
        <v>123</v>
      </c>
      <c r="G41" s="149" t="s">
        <v>162</v>
      </c>
      <c r="H41" s="149" t="s">
        <v>495</v>
      </c>
      <c r="I41" s="149" t="s">
        <v>496</v>
      </c>
      <c r="AT41"/>
    </row>
    <row r="42" spans="1:46" x14ac:dyDescent="0.25">
      <c r="A42" t="s">
        <v>131</v>
      </c>
      <c r="B42">
        <v>1100</v>
      </c>
      <c r="C42" s="196">
        <f>'General Fund - Revenue'!M7</f>
        <v>38147.24</v>
      </c>
      <c r="G42" s="48"/>
      <c r="H42" s="48"/>
      <c r="I42" s="48"/>
      <c r="AT42"/>
    </row>
    <row r="43" spans="1:46" x14ac:dyDescent="0.25">
      <c r="A43" t="s">
        <v>132</v>
      </c>
      <c r="B43">
        <v>1105</v>
      </c>
      <c r="C43" s="197">
        <f>'General Fund - Revenue'!M8</f>
        <v>6374.82</v>
      </c>
      <c r="G43" s="48"/>
      <c r="H43" s="48"/>
      <c r="I43" s="48"/>
      <c r="AT43"/>
    </row>
    <row r="44" spans="1:46" x14ac:dyDescent="0.25">
      <c r="A44" t="s">
        <v>133</v>
      </c>
      <c r="B44">
        <v>1135</v>
      </c>
      <c r="C44" s="197">
        <f>'General Fund - Revenue'!M9</f>
        <v>12000</v>
      </c>
      <c r="G44" s="48"/>
      <c r="H44" s="48"/>
      <c r="I44" s="48"/>
      <c r="AT44"/>
    </row>
    <row r="45" spans="1:46" x14ac:dyDescent="0.25">
      <c r="A45" t="s">
        <v>134</v>
      </c>
      <c r="B45">
        <v>1140</v>
      </c>
      <c r="C45" s="197">
        <f>'General Fund - Revenue'!M10</f>
        <v>552425.99</v>
      </c>
      <c r="G45" s="48"/>
      <c r="H45" s="48"/>
      <c r="I45" s="48"/>
      <c r="AT45"/>
    </row>
    <row r="46" spans="1:46" x14ac:dyDescent="0.25">
      <c r="A46" t="s">
        <v>135</v>
      </c>
      <c r="B46">
        <v>1145</v>
      </c>
      <c r="C46" s="197">
        <f>'General Fund - Revenue'!M11</f>
        <v>14460.4</v>
      </c>
      <c r="G46" s="48"/>
      <c r="H46" s="48"/>
      <c r="I46" s="48"/>
      <c r="AT46"/>
    </row>
    <row r="47" spans="1:46" x14ac:dyDescent="0.25">
      <c r="A47" t="s">
        <v>136</v>
      </c>
      <c r="B47">
        <v>1152</v>
      </c>
      <c r="C47" s="197">
        <f>'General Fund - Revenue'!M12</f>
        <v>0</v>
      </c>
      <c r="G47" s="48"/>
      <c r="H47" s="48"/>
      <c r="I47" s="48"/>
      <c r="AT47"/>
    </row>
    <row r="48" spans="1:46" x14ac:dyDescent="0.25">
      <c r="A48" t="s">
        <v>137</v>
      </c>
      <c r="B48">
        <v>1155</v>
      </c>
      <c r="C48" s="197">
        <f>'General Fund - Revenue'!M13</f>
        <v>0</v>
      </c>
      <c r="G48" s="48"/>
      <c r="H48" s="48"/>
      <c r="I48" s="48"/>
      <c r="AT48"/>
    </row>
    <row r="49" spans="1:46" x14ac:dyDescent="0.25">
      <c r="A49" t="s">
        <v>138</v>
      </c>
      <c r="B49">
        <v>1160</v>
      </c>
      <c r="C49" s="197">
        <f>'General Fund - Revenue'!M14</f>
        <v>3000</v>
      </c>
      <c r="G49" s="48"/>
      <c r="H49" s="48"/>
      <c r="I49" s="48"/>
      <c r="AT49"/>
    </row>
    <row r="50" spans="1:46" x14ac:dyDescent="0.25">
      <c r="A50" t="s">
        <v>139</v>
      </c>
      <c r="B50">
        <v>1162</v>
      </c>
      <c r="C50" s="197">
        <f>'General Fund - Revenue'!M15</f>
        <v>0</v>
      </c>
      <c r="G50" s="48"/>
      <c r="H50" s="48"/>
      <c r="I50" s="48"/>
      <c r="AT50"/>
    </row>
    <row r="51" spans="1:46" x14ac:dyDescent="0.25">
      <c r="A51" t="s">
        <v>140</v>
      </c>
      <c r="B51">
        <v>1164</v>
      </c>
      <c r="C51" s="197">
        <f>'General Fund - Revenue'!M16</f>
        <v>0</v>
      </c>
      <c r="G51" s="48"/>
      <c r="H51" s="48"/>
      <c r="I51" s="48"/>
      <c r="AT51"/>
    </row>
    <row r="52" spans="1:46" x14ac:dyDescent="0.25">
      <c r="A52" s="34" t="s">
        <v>299</v>
      </c>
      <c r="B52" s="34">
        <v>1166</v>
      </c>
      <c r="C52" s="197">
        <f>'General Fund - Revenue'!M17</f>
        <v>0</v>
      </c>
      <c r="G52" s="48"/>
      <c r="H52" s="48"/>
      <c r="I52" s="48"/>
      <c r="AT52"/>
    </row>
    <row r="53" spans="1:46" x14ac:dyDescent="0.25">
      <c r="A53" t="s">
        <v>141</v>
      </c>
      <c r="B53" s="34">
        <v>1167</v>
      </c>
      <c r="C53" s="197">
        <f>'General Fund - Revenue'!M18</f>
        <v>0</v>
      </c>
      <c r="G53" s="48"/>
      <c r="H53" s="48"/>
      <c r="I53" s="48"/>
      <c r="AT53"/>
    </row>
    <row r="54" spans="1:46" x14ac:dyDescent="0.25">
      <c r="A54" t="s">
        <v>142</v>
      </c>
      <c r="B54">
        <v>1168</v>
      </c>
      <c r="C54" s="197">
        <f>'General Fund - Revenue'!M19</f>
        <v>6810</v>
      </c>
      <c r="G54" s="48"/>
      <c r="H54" s="48"/>
      <c r="I54" s="48"/>
      <c r="AT54"/>
    </row>
    <row r="55" spans="1:46" x14ac:dyDescent="0.25">
      <c r="A55" t="s">
        <v>400</v>
      </c>
      <c r="B55">
        <v>1169</v>
      </c>
      <c r="C55" s="197">
        <f>'General Fund - Revenue'!M20</f>
        <v>0</v>
      </c>
      <c r="G55" s="48"/>
      <c r="H55" s="48"/>
      <c r="I55" s="48"/>
      <c r="AT55"/>
    </row>
    <row r="56" spans="1:46" x14ac:dyDescent="0.25">
      <c r="A56" t="s">
        <v>143</v>
      </c>
      <c r="B56">
        <v>1171</v>
      </c>
      <c r="C56" s="198">
        <f>'General Fund - Revenue'!M21</f>
        <v>0</v>
      </c>
      <c r="G56" s="48"/>
      <c r="H56" s="48"/>
      <c r="I56" s="48"/>
      <c r="AT56"/>
    </row>
    <row r="57" spans="1:46" x14ac:dyDescent="0.25">
      <c r="A57" t="s">
        <v>144</v>
      </c>
      <c r="B57">
        <v>1200</v>
      </c>
      <c r="D57" s="200">
        <f>'General Fund - Revenue'!M22</f>
        <v>31252.51</v>
      </c>
      <c r="G57" s="48"/>
      <c r="H57" s="48"/>
      <c r="I57" s="48"/>
      <c r="AT57"/>
    </row>
    <row r="58" spans="1:46" x14ac:dyDescent="0.25">
      <c r="A58" t="s">
        <v>145</v>
      </c>
      <c r="B58">
        <v>1300</v>
      </c>
      <c r="C58" s="195"/>
      <c r="E58" s="193">
        <f>'General Fund - Revenue'!M23</f>
        <v>0</v>
      </c>
      <c r="G58" s="48"/>
      <c r="H58" s="48"/>
      <c r="I58" s="48"/>
      <c r="AT58"/>
    </row>
    <row r="59" spans="1:46" x14ac:dyDescent="0.25">
      <c r="A59" t="s">
        <v>146</v>
      </c>
      <c r="B59">
        <v>1400</v>
      </c>
      <c r="F59" s="85">
        <f>'General Fund - Revenue'!M24</f>
        <v>-4086</v>
      </c>
      <c r="G59" s="48"/>
      <c r="H59" s="48"/>
      <c r="I59" s="48"/>
      <c r="AT59"/>
    </row>
    <row r="60" spans="1:46" x14ac:dyDescent="0.25">
      <c r="A60" t="s">
        <v>147</v>
      </c>
      <c r="B60">
        <v>1500</v>
      </c>
      <c r="C60" s="195"/>
      <c r="G60" s="193">
        <f>'General Fund - Revenue'!M25</f>
        <v>0</v>
      </c>
      <c r="H60" s="48"/>
      <c r="I60" s="48"/>
      <c r="AT60"/>
    </row>
    <row r="61" spans="1:46" x14ac:dyDescent="0.25">
      <c r="A61" t="s">
        <v>226</v>
      </c>
      <c r="B61">
        <v>1600</v>
      </c>
      <c r="C61" s="195"/>
      <c r="G61" s="48"/>
      <c r="H61" s="48"/>
      <c r="I61" s="193">
        <f>'General Fund - Revenue'!M26</f>
        <v>0</v>
      </c>
      <c r="AT61"/>
    </row>
    <row r="62" spans="1:46" x14ac:dyDescent="0.25">
      <c r="A62" t="s">
        <v>148</v>
      </c>
      <c r="B62">
        <v>1700</v>
      </c>
      <c r="C62" s="195"/>
      <c r="G62" s="48"/>
      <c r="H62" s="193">
        <f>'General Fund - Revenue'!M27</f>
        <v>0</v>
      </c>
      <c r="I62" s="48"/>
      <c r="AT62"/>
    </row>
    <row r="63" spans="1:46" x14ac:dyDescent="0.25">
      <c r="A63" t="s">
        <v>227</v>
      </c>
      <c r="B63"/>
      <c r="C63" s="196">
        <f>'General Fund - Revenue'!M28</f>
        <v>0</v>
      </c>
      <c r="G63" s="48"/>
      <c r="H63" s="48"/>
      <c r="I63" s="48"/>
      <c r="AT63"/>
    </row>
    <row r="64" spans="1:46" x14ac:dyDescent="0.25">
      <c r="A64" t="s">
        <v>149</v>
      </c>
      <c r="B64">
        <v>1905</v>
      </c>
      <c r="C64" s="198">
        <f>'General Fund - Revenue'!M29</f>
        <v>0</v>
      </c>
      <c r="G64" s="48"/>
      <c r="H64" s="48"/>
      <c r="I64" s="48"/>
      <c r="AT64"/>
    </row>
    <row r="65" spans="1:46" x14ac:dyDescent="0.25">
      <c r="A65" t="s">
        <v>150</v>
      </c>
      <c r="B65">
        <v>2205</v>
      </c>
      <c r="D65" s="196">
        <f>'General Fund - Revenue'!M30</f>
        <v>41637.71</v>
      </c>
      <c r="G65" s="48"/>
      <c r="H65" s="48"/>
      <c r="I65" s="48"/>
      <c r="AT65"/>
    </row>
    <row r="66" spans="1:46" x14ac:dyDescent="0.25">
      <c r="A66" t="s">
        <v>151</v>
      </c>
      <c r="B66">
        <v>2210</v>
      </c>
      <c r="D66" s="197">
        <f>'General Fund - Revenue'!M31</f>
        <v>24621.18</v>
      </c>
      <c r="G66" s="48"/>
      <c r="H66" s="48"/>
      <c r="I66" s="48"/>
      <c r="AT66"/>
    </row>
    <row r="67" spans="1:46" x14ac:dyDescent="0.25">
      <c r="A67" t="s">
        <v>152</v>
      </c>
      <c r="B67">
        <v>2215</v>
      </c>
      <c r="D67" s="197">
        <f>'General Fund - Revenue'!M32</f>
        <v>0</v>
      </c>
      <c r="G67" s="48"/>
      <c r="H67" s="48"/>
      <c r="I67" s="48"/>
      <c r="AT67"/>
    </row>
    <row r="68" spans="1:46" x14ac:dyDescent="0.25">
      <c r="A68" t="s">
        <v>153</v>
      </c>
      <c r="B68">
        <v>2225</v>
      </c>
      <c r="D68" s="197">
        <f>'General Fund - Revenue'!M33</f>
        <v>48092.98</v>
      </c>
      <c r="G68" s="48"/>
      <c r="H68" s="48"/>
      <c r="I68" s="48"/>
      <c r="AT68"/>
    </row>
    <row r="69" spans="1:46" x14ac:dyDescent="0.25">
      <c r="A69" t="s">
        <v>154</v>
      </c>
      <c r="B69">
        <v>2230</v>
      </c>
      <c r="D69" s="197">
        <f>'General Fund - Revenue'!M34</f>
        <v>0</v>
      </c>
      <c r="G69" s="48"/>
      <c r="H69" s="48"/>
      <c r="I69" s="48"/>
      <c r="AT69"/>
    </row>
    <row r="70" spans="1:46" x14ac:dyDescent="0.25">
      <c r="A70" t="s">
        <v>401</v>
      </c>
      <c r="B70">
        <v>2235</v>
      </c>
      <c r="D70" s="197">
        <f>'General Fund - Revenue'!M35</f>
        <v>49208.56</v>
      </c>
      <c r="G70" s="48"/>
      <c r="H70" s="48"/>
      <c r="I70" s="48"/>
      <c r="AT70"/>
    </row>
    <row r="71" spans="1:46" x14ac:dyDescent="0.25">
      <c r="A71" t="s">
        <v>402</v>
      </c>
      <c r="B71">
        <v>2240</v>
      </c>
      <c r="D71" s="197">
        <f>'General Fund - Revenue'!M36</f>
        <v>76872.179999999993</v>
      </c>
      <c r="G71" s="48"/>
      <c r="H71" s="48"/>
      <c r="I71" s="48"/>
      <c r="AT71"/>
    </row>
    <row r="72" spans="1:46" x14ac:dyDescent="0.25">
      <c r="A72" t="s">
        <v>155</v>
      </c>
      <c r="B72">
        <v>2310</v>
      </c>
      <c r="D72" s="197">
        <f>'General Fund - Revenue'!M37</f>
        <v>195107.31999999998</v>
      </c>
      <c r="G72" s="48"/>
      <c r="H72" s="48"/>
      <c r="I72" s="48"/>
      <c r="AT72"/>
    </row>
    <row r="73" spans="1:46" x14ac:dyDescent="0.25">
      <c r="A73" t="s">
        <v>156</v>
      </c>
      <c r="B73">
        <v>2311</v>
      </c>
      <c r="D73" s="198">
        <f>'General Fund - Revenue'!M38</f>
        <v>0</v>
      </c>
      <c r="G73" s="48"/>
      <c r="H73" s="48"/>
      <c r="I73" s="48"/>
      <c r="AT73"/>
    </row>
    <row r="74" spans="1:46" x14ac:dyDescent="0.25">
      <c r="A74" t="s">
        <v>157</v>
      </c>
      <c r="B74">
        <v>3305</v>
      </c>
      <c r="E74" s="196">
        <f>'General Fund - Revenue'!M39</f>
        <v>35256.25</v>
      </c>
      <c r="G74" s="48"/>
      <c r="H74" s="48"/>
      <c r="I74" s="48"/>
      <c r="AT74"/>
    </row>
    <row r="75" spans="1:46" x14ac:dyDescent="0.25">
      <c r="A75" t="s">
        <v>159</v>
      </c>
      <c r="B75">
        <v>4315</v>
      </c>
      <c r="E75" s="197">
        <f>'General Fund - Revenue'!M40</f>
        <v>0</v>
      </c>
      <c r="G75" s="48"/>
      <c r="H75" s="48"/>
      <c r="I75" s="48"/>
      <c r="AT75"/>
    </row>
    <row r="76" spans="1:46" x14ac:dyDescent="0.25">
      <c r="A76" t="s">
        <v>158</v>
      </c>
      <c r="B76">
        <v>4320</v>
      </c>
      <c r="E76" s="197">
        <f>'General Fund - Revenue'!M41</f>
        <v>0</v>
      </c>
      <c r="G76" s="48"/>
      <c r="H76" s="48"/>
      <c r="I76" s="48"/>
      <c r="AT76"/>
    </row>
    <row r="77" spans="1:46" x14ac:dyDescent="0.25">
      <c r="A77" t="s">
        <v>160</v>
      </c>
      <c r="B77">
        <v>4325</v>
      </c>
      <c r="E77" s="198">
        <f>'General Fund - Revenue'!M42</f>
        <v>0</v>
      </c>
      <c r="G77" s="48"/>
      <c r="H77" s="48"/>
      <c r="I77" s="48"/>
      <c r="AT77"/>
    </row>
    <row r="78" spans="1:46" x14ac:dyDescent="0.25">
      <c r="A78" t="s">
        <v>161</v>
      </c>
      <c r="B78">
        <v>4405</v>
      </c>
      <c r="F78" s="85">
        <f>'General Fund - Revenue'!M43</f>
        <v>273132</v>
      </c>
      <c r="G78" s="48"/>
      <c r="H78" s="48"/>
      <c r="I78" s="48"/>
      <c r="AT78"/>
    </row>
    <row r="79" spans="1:46" x14ac:dyDescent="0.25">
      <c r="A79" t="s">
        <v>162</v>
      </c>
      <c r="B79">
        <v>5505</v>
      </c>
      <c r="C79" s="195"/>
      <c r="G79" s="193">
        <f>'General Fund - Revenue'!M44</f>
        <v>0</v>
      </c>
      <c r="H79" s="48"/>
      <c r="I79" s="48"/>
      <c r="AT79"/>
    </row>
    <row r="80" spans="1:46" x14ac:dyDescent="0.25">
      <c r="A80" t="s">
        <v>163</v>
      </c>
      <c r="B80">
        <v>5507</v>
      </c>
      <c r="C80" s="196">
        <f>'General Fund - Revenue'!M45</f>
        <v>0</v>
      </c>
      <c r="G80" s="194"/>
      <c r="H80" s="48"/>
      <c r="I80" s="48"/>
      <c r="AT80"/>
    </row>
    <row r="81" spans="1:46" x14ac:dyDescent="0.25">
      <c r="A81" t="s">
        <v>164</v>
      </c>
      <c r="B81">
        <v>8175</v>
      </c>
      <c r="C81" s="197">
        <f>'General Fund - Revenue'!M46</f>
        <v>45449.68</v>
      </c>
      <c r="G81" s="48"/>
      <c r="H81" s="48"/>
      <c r="I81" s="48"/>
      <c r="AT81"/>
    </row>
    <row r="82" spans="1:46" x14ac:dyDescent="0.25">
      <c r="A82" t="s">
        <v>165</v>
      </c>
      <c r="B82">
        <v>8180</v>
      </c>
      <c r="C82" s="197">
        <f>'General Fund - Revenue'!M47</f>
        <v>4770.3999999999996</v>
      </c>
      <c r="G82" s="48"/>
      <c r="H82" s="48"/>
      <c r="I82" s="48"/>
      <c r="AT82"/>
    </row>
    <row r="83" spans="1:46" x14ac:dyDescent="0.25">
      <c r="A83" t="s">
        <v>166</v>
      </c>
      <c r="B83">
        <v>8185</v>
      </c>
      <c r="C83" s="198">
        <f>'General Fund - Revenue'!M48</f>
        <v>0</v>
      </c>
      <c r="G83" s="48"/>
      <c r="H83" s="48"/>
      <c r="I83" s="48"/>
      <c r="AT83"/>
    </row>
    <row r="84" spans="1:46" x14ac:dyDescent="0.25">
      <c r="A84" t="s">
        <v>167</v>
      </c>
      <c r="B84">
        <v>8245</v>
      </c>
      <c r="D84" s="196">
        <f>'General Fund - Revenue'!M49</f>
        <v>635.20000000000005</v>
      </c>
      <c r="G84" s="48"/>
      <c r="H84" s="48"/>
      <c r="I84" s="48"/>
      <c r="AT84"/>
    </row>
    <row r="85" spans="1:46" x14ac:dyDescent="0.25">
      <c r="A85" t="s">
        <v>168</v>
      </c>
      <c r="B85">
        <v>8250</v>
      </c>
      <c r="D85" s="197">
        <f>'General Fund - Revenue'!M50</f>
        <v>296623.71999999997</v>
      </c>
      <c r="G85" s="48"/>
      <c r="H85" s="48"/>
      <c r="I85" s="48"/>
      <c r="AT85"/>
    </row>
    <row r="86" spans="1:46" x14ac:dyDescent="0.25">
      <c r="A86" t="s">
        <v>169</v>
      </c>
      <c r="B86">
        <v>8255</v>
      </c>
      <c r="D86" s="197">
        <f>'General Fund - Revenue'!M51</f>
        <v>0</v>
      </c>
      <c r="G86" s="48"/>
      <c r="H86" s="48"/>
      <c r="I86" s="48"/>
      <c r="AT86"/>
    </row>
    <row r="87" spans="1:46" x14ac:dyDescent="0.25">
      <c r="A87" t="s">
        <v>170</v>
      </c>
      <c r="B87">
        <v>8260</v>
      </c>
      <c r="D87" s="197">
        <f>'General Fund - Revenue'!M52</f>
        <v>0</v>
      </c>
      <c r="G87" s="48"/>
      <c r="H87" s="48"/>
      <c r="I87" s="48"/>
      <c r="AT87"/>
    </row>
    <row r="88" spans="1:46" x14ac:dyDescent="0.25">
      <c r="A88" t="s">
        <v>171</v>
      </c>
      <c r="B88">
        <v>8265</v>
      </c>
      <c r="D88" s="197">
        <f>'General Fund - Revenue'!M53</f>
        <v>281208.12</v>
      </c>
      <c r="G88" s="48"/>
      <c r="H88" s="48"/>
      <c r="I88" s="48"/>
      <c r="AT88"/>
    </row>
    <row r="89" spans="1:46" x14ac:dyDescent="0.25">
      <c r="A89" t="s">
        <v>172</v>
      </c>
      <c r="B89">
        <v>8270</v>
      </c>
      <c r="D89" s="198">
        <f>'General Fund - Revenue'!M54</f>
        <v>113473.60000000001</v>
      </c>
      <c r="G89" s="48"/>
      <c r="H89" s="48"/>
      <c r="I89" s="48"/>
      <c r="AT89"/>
    </row>
    <row r="90" spans="1:46" x14ac:dyDescent="0.25">
      <c r="A90" t="s">
        <v>173</v>
      </c>
      <c r="B90">
        <v>9110</v>
      </c>
      <c r="C90" s="196">
        <f>'General Fund - Revenue'!M55</f>
        <v>1000</v>
      </c>
      <c r="G90" s="48"/>
      <c r="H90" s="48"/>
      <c r="I90" s="48"/>
      <c r="AT90"/>
    </row>
    <row r="91" spans="1:46" x14ac:dyDescent="0.25">
      <c r="A91" t="s">
        <v>174</v>
      </c>
      <c r="B91">
        <v>9115</v>
      </c>
      <c r="C91" s="197">
        <f>'General Fund - Revenue'!M56</f>
        <v>0</v>
      </c>
      <c r="G91" s="48"/>
      <c r="H91" s="48"/>
      <c r="I91" s="48"/>
      <c r="AT91"/>
    </row>
    <row r="92" spans="1:46" x14ac:dyDescent="0.25">
      <c r="A92" t="s">
        <v>175</v>
      </c>
      <c r="B92">
        <v>9125</v>
      </c>
      <c r="C92" s="197">
        <f>'General Fund - Revenue'!M57</f>
        <v>807.5</v>
      </c>
      <c r="G92" s="48"/>
      <c r="H92" s="48"/>
      <c r="I92" s="48"/>
      <c r="AT92"/>
    </row>
    <row r="93" spans="1:46" x14ac:dyDescent="0.25">
      <c r="A93" t="s">
        <v>176</v>
      </c>
      <c r="B93">
        <v>9130</v>
      </c>
      <c r="C93" s="197">
        <f>'General Fund - Revenue'!M58</f>
        <v>15</v>
      </c>
      <c r="G93" s="48"/>
      <c r="H93" s="48"/>
      <c r="I93" s="48"/>
      <c r="AT93"/>
    </row>
    <row r="94" spans="1:46" x14ac:dyDescent="0.25">
      <c r="A94" t="s">
        <v>177</v>
      </c>
      <c r="B94">
        <v>9190</v>
      </c>
      <c r="C94" s="198">
        <f>'General Fund - Revenue'!M59</f>
        <v>78984.87</v>
      </c>
      <c r="G94" s="48"/>
      <c r="H94" s="48"/>
      <c r="I94" s="48"/>
      <c r="AT94"/>
    </row>
    <row r="95" spans="1:46" x14ac:dyDescent="0.25">
      <c r="A95" t="s">
        <v>228</v>
      </c>
      <c r="B95">
        <v>9605</v>
      </c>
      <c r="G95" s="48"/>
      <c r="H95" s="48"/>
      <c r="I95" s="85">
        <f>'General Fund - Revenue'!M60</f>
        <v>72800.399999999994</v>
      </c>
      <c r="AT95"/>
    </row>
    <row r="96" spans="1:46" x14ac:dyDescent="0.25">
      <c r="A96" t="s">
        <v>178</v>
      </c>
      <c r="B96">
        <v>9710</v>
      </c>
      <c r="G96" s="48"/>
      <c r="H96" s="85">
        <f>'General Fund - Revenue'!M61</f>
        <v>16883</v>
      </c>
      <c r="I96" s="48"/>
      <c r="AT96"/>
    </row>
    <row r="97" spans="1:46" x14ac:dyDescent="0.25">
      <c r="A97" t="s">
        <v>179</v>
      </c>
      <c r="B97">
        <v>9805</v>
      </c>
      <c r="C97" s="196">
        <f>'General Fund - Revenue'!M62</f>
        <v>0</v>
      </c>
      <c r="G97" s="48"/>
      <c r="H97" s="48"/>
      <c r="I97" s="48"/>
      <c r="AT97"/>
    </row>
    <row r="98" spans="1:46" x14ac:dyDescent="0.25">
      <c r="A98" t="s">
        <v>180</v>
      </c>
      <c r="B98">
        <v>9810</v>
      </c>
      <c r="C98" s="198">
        <f>'General Fund - Revenue'!M63</f>
        <v>0</v>
      </c>
      <c r="G98" s="48"/>
      <c r="H98" s="48"/>
      <c r="I98" s="48"/>
      <c r="J98" s="199" t="s">
        <v>83</v>
      </c>
      <c r="AT98"/>
    </row>
    <row r="99" spans="1:46" x14ac:dyDescent="0.25">
      <c r="A99" s="149" t="s">
        <v>73</v>
      </c>
      <c r="C99" s="182">
        <f>SUM(C42:C98)</f>
        <v>764245.90000000014</v>
      </c>
      <c r="D99" s="183">
        <f t="shared" ref="D99:I99" si="2">SUM(D42:D98)</f>
        <v>1158733.0799999998</v>
      </c>
      <c r="E99" s="185">
        <f t="shared" si="2"/>
        <v>35256.25</v>
      </c>
      <c r="F99" s="184">
        <f t="shared" si="2"/>
        <v>269046</v>
      </c>
      <c r="G99" s="186">
        <f t="shared" si="2"/>
        <v>0</v>
      </c>
      <c r="H99" s="187">
        <f t="shared" si="2"/>
        <v>16883</v>
      </c>
      <c r="I99" s="201">
        <f t="shared" si="2"/>
        <v>72800.399999999994</v>
      </c>
      <c r="J99" s="149">
        <f>SUM(C99:I99)</f>
        <v>2316964.63</v>
      </c>
      <c r="AT99"/>
    </row>
    <row r="100" spans="1:46" x14ac:dyDescent="0.25">
      <c r="A100" s="48"/>
      <c r="G100" s="48"/>
      <c r="H100" s="48"/>
      <c r="I100" s="48"/>
      <c r="AT100"/>
    </row>
    <row r="101" spans="1:46" ht="21" x14ac:dyDescent="0.35">
      <c r="A101" s="189"/>
      <c r="G101" s="48"/>
      <c r="H101" s="48"/>
      <c r="I101" s="48"/>
      <c r="AT101"/>
    </row>
    <row r="102" spans="1:46" x14ac:dyDescent="0.25">
      <c r="A102" s="48"/>
      <c r="C102" s="149"/>
      <c r="D102" s="149"/>
      <c r="E102" s="149"/>
      <c r="F102" s="149"/>
      <c r="G102" s="149"/>
      <c r="H102" s="149"/>
      <c r="I102" s="149"/>
      <c r="AT102"/>
    </row>
    <row r="103" spans="1:46" ht="21" x14ac:dyDescent="0.35">
      <c r="A103" s="189" t="s">
        <v>498</v>
      </c>
      <c r="C103" s="204" t="s">
        <v>499</v>
      </c>
      <c r="D103" s="150"/>
      <c r="E103" s="150"/>
      <c r="F103" s="150"/>
      <c r="G103" s="150"/>
      <c r="H103" s="150"/>
      <c r="I103" s="150"/>
      <c r="AT103"/>
    </row>
    <row r="104" spans="1:46" x14ac:dyDescent="0.25">
      <c r="A104" s="48"/>
      <c r="C104" s="149" t="s">
        <v>120</v>
      </c>
      <c r="D104" s="149" t="s">
        <v>121</v>
      </c>
      <c r="E104" s="149" t="s">
        <v>122</v>
      </c>
      <c r="F104" s="149" t="s">
        <v>123</v>
      </c>
      <c r="G104" s="149" t="s">
        <v>162</v>
      </c>
      <c r="H104" s="149" t="s">
        <v>495</v>
      </c>
      <c r="I104" s="149" t="s">
        <v>496</v>
      </c>
      <c r="AT104"/>
    </row>
    <row r="105" spans="1:46" x14ac:dyDescent="0.25">
      <c r="A105" t="s">
        <v>131</v>
      </c>
      <c r="B105">
        <v>1100</v>
      </c>
      <c r="C105" s="190">
        <f>'General Fund - Revenue'!L7</f>
        <v>-21450.76</v>
      </c>
      <c r="G105" s="48"/>
      <c r="H105" s="48"/>
      <c r="I105" s="48"/>
      <c r="AT105"/>
    </row>
    <row r="106" spans="1:46" x14ac:dyDescent="0.25">
      <c r="A106" t="s">
        <v>132</v>
      </c>
      <c r="B106">
        <v>1105</v>
      </c>
      <c r="C106" s="191">
        <f>'General Fund - Revenue'!L8</f>
        <v>0</v>
      </c>
      <c r="G106" s="48"/>
      <c r="H106" s="48"/>
      <c r="I106" s="48"/>
      <c r="AT106"/>
    </row>
    <row r="107" spans="1:46" x14ac:dyDescent="0.25">
      <c r="A107" t="s">
        <v>133</v>
      </c>
      <c r="B107">
        <v>1135</v>
      </c>
      <c r="C107" s="191">
        <f>'General Fund - Revenue'!L9</f>
        <v>0</v>
      </c>
      <c r="G107" s="48"/>
      <c r="H107" s="48"/>
      <c r="I107" s="48"/>
      <c r="AT107"/>
    </row>
    <row r="108" spans="1:46" x14ac:dyDescent="0.25">
      <c r="A108" t="s">
        <v>134</v>
      </c>
      <c r="B108">
        <v>1140</v>
      </c>
      <c r="C108" s="191">
        <f>'General Fund - Revenue'!L10</f>
        <v>0</v>
      </c>
      <c r="G108" s="48"/>
      <c r="H108" s="48"/>
      <c r="I108" s="48"/>
      <c r="AT108"/>
    </row>
    <row r="109" spans="1:46" x14ac:dyDescent="0.25">
      <c r="A109" t="s">
        <v>135</v>
      </c>
      <c r="B109">
        <v>1145</v>
      </c>
      <c r="C109" s="191">
        <f>'General Fund - Revenue'!L11</f>
        <v>0</v>
      </c>
      <c r="G109" s="48"/>
      <c r="H109" s="48"/>
      <c r="I109" s="48"/>
      <c r="AT109"/>
    </row>
    <row r="110" spans="1:46" x14ac:dyDescent="0.25">
      <c r="A110" t="s">
        <v>136</v>
      </c>
      <c r="B110">
        <v>1152</v>
      </c>
      <c r="C110" s="191">
        <f>'General Fund - Revenue'!L12</f>
        <v>0</v>
      </c>
      <c r="G110" s="48"/>
      <c r="H110" s="48"/>
      <c r="I110" s="48"/>
      <c r="AT110"/>
    </row>
    <row r="111" spans="1:46" x14ac:dyDescent="0.25">
      <c r="A111" t="s">
        <v>137</v>
      </c>
      <c r="B111">
        <v>1155</v>
      </c>
      <c r="C111" s="191">
        <f>'General Fund - Revenue'!L13</f>
        <v>0</v>
      </c>
      <c r="G111" s="48"/>
      <c r="H111" s="48"/>
      <c r="I111" s="48"/>
      <c r="AT111"/>
    </row>
    <row r="112" spans="1:46" x14ac:dyDescent="0.25">
      <c r="A112" t="s">
        <v>138</v>
      </c>
      <c r="B112">
        <v>1160</v>
      </c>
      <c r="C112" s="191">
        <f>'General Fund - Revenue'!L14</f>
        <v>0</v>
      </c>
      <c r="G112" s="48"/>
      <c r="H112" s="48"/>
      <c r="I112" s="48"/>
      <c r="AT112"/>
    </row>
    <row r="113" spans="1:46" x14ac:dyDescent="0.25">
      <c r="A113" t="s">
        <v>139</v>
      </c>
      <c r="B113">
        <v>1162</v>
      </c>
      <c r="C113" s="191">
        <f>'General Fund - Revenue'!L15</f>
        <v>21450.76</v>
      </c>
      <c r="G113" s="48"/>
      <c r="H113" s="48"/>
      <c r="I113" s="48"/>
      <c r="AT113"/>
    </row>
    <row r="114" spans="1:46" x14ac:dyDescent="0.25">
      <c r="A114" t="s">
        <v>140</v>
      </c>
      <c r="B114">
        <v>1164</v>
      </c>
      <c r="C114" s="191">
        <f>'General Fund - Revenue'!M16</f>
        <v>0</v>
      </c>
      <c r="G114" s="48"/>
      <c r="H114" s="48"/>
      <c r="I114" s="48"/>
      <c r="AT114"/>
    </row>
    <row r="115" spans="1:46" x14ac:dyDescent="0.25">
      <c r="A115" s="34" t="s">
        <v>299</v>
      </c>
      <c r="B115" s="34">
        <v>1166</v>
      </c>
      <c r="C115" s="191">
        <f>'General Fund - Revenue'!L17</f>
        <v>0</v>
      </c>
      <c r="G115" s="48"/>
      <c r="H115" s="48"/>
      <c r="I115" s="48"/>
      <c r="AT115"/>
    </row>
    <row r="116" spans="1:46" x14ac:dyDescent="0.25">
      <c r="A116" t="s">
        <v>141</v>
      </c>
      <c r="B116" s="34">
        <v>1167</v>
      </c>
      <c r="C116" s="191">
        <f>'General Fund - Revenue'!L18</f>
        <v>0</v>
      </c>
      <c r="G116" s="48"/>
      <c r="H116" s="48"/>
      <c r="I116" s="48"/>
      <c r="AT116"/>
    </row>
    <row r="117" spans="1:46" x14ac:dyDescent="0.25">
      <c r="A117" t="s">
        <v>142</v>
      </c>
      <c r="B117">
        <v>1168</v>
      </c>
      <c r="C117" s="191">
        <f>'General Fund - Revenue'!L19</f>
        <v>0</v>
      </c>
      <c r="G117" s="48"/>
      <c r="H117" s="48"/>
      <c r="I117" s="48"/>
      <c r="AT117"/>
    </row>
    <row r="118" spans="1:46" x14ac:dyDescent="0.25">
      <c r="A118" t="s">
        <v>400</v>
      </c>
      <c r="B118">
        <v>1169</v>
      </c>
      <c r="C118" s="191">
        <f>'General Fund - Revenue'!L20</f>
        <v>67652.63</v>
      </c>
      <c r="G118" s="48"/>
      <c r="H118" s="48"/>
      <c r="I118" s="48"/>
      <c r="AT118"/>
    </row>
    <row r="119" spans="1:46" x14ac:dyDescent="0.25">
      <c r="A119" t="s">
        <v>143</v>
      </c>
      <c r="B119">
        <v>1171</v>
      </c>
      <c r="C119" s="192">
        <f>'General Fund - Revenue'!L21</f>
        <v>0</v>
      </c>
      <c r="G119" s="48"/>
      <c r="H119" s="48"/>
      <c r="I119" s="48"/>
      <c r="AT119"/>
    </row>
    <row r="120" spans="1:46" x14ac:dyDescent="0.25">
      <c r="A120" t="s">
        <v>144</v>
      </c>
      <c r="B120">
        <v>1200</v>
      </c>
      <c r="D120" s="193">
        <f>'General Fund - Revenue'!L22</f>
        <v>3392.73</v>
      </c>
      <c r="G120" s="48"/>
      <c r="H120" s="48"/>
      <c r="I120" s="48"/>
      <c r="AT120"/>
    </row>
    <row r="121" spans="1:46" x14ac:dyDescent="0.25">
      <c r="A121" t="s">
        <v>145</v>
      </c>
      <c r="B121">
        <v>1300</v>
      </c>
      <c r="E121" s="193">
        <f>'General Fund - Revenue'!L23</f>
        <v>58684.83</v>
      </c>
      <c r="G121" s="48"/>
      <c r="H121" s="48"/>
      <c r="I121" s="48"/>
      <c r="AT121"/>
    </row>
    <row r="122" spans="1:46" x14ac:dyDescent="0.25">
      <c r="A122" t="s">
        <v>146</v>
      </c>
      <c r="B122">
        <v>1400</v>
      </c>
      <c r="F122" s="193">
        <f>'General Fund - Revenue'!L24</f>
        <v>0</v>
      </c>
      <c r="G122" s="48"/>
      <c r="H122" s="48"/>
      <c r="I122" s="48"/>
      <c r="AT122"/>
    </row>
    <row r="123" spans="1:46" x14ac:dyDescent="0.25">
      <c r="A123" t="s">
        <v>147</v>
      </c>
      <c r="B123">
        <v>1500</v>
      </c>
      <c r="G123" s="193">
        <f>'General Fund - Revenue'!L25</f>
        <v>0</v>
      </c>
      <c r="H123" s="48"/>
      <c r="I123" s="48"/>
      <c r="AT123"/>
    </row>
    <row r="124" spans="1:46" x14ac:dyDescent="0.25">
      <c r="A124" t="s">
        <v>226</v>
      </c>
      <c r="B124">
        <v>1600</v>
      </c>
      <c r="G124" s="48"/>
      <c r="H124" s="48"/>
      <c r="I124" s="193">
        <f>'General Fund - Revenue'!L26</f>
        <v>17273.2</v>
      </c>
      <c r="AT124"/>
    </row>
    <row r="125" spans="1:46" x14ac:dyDescent="0.25">
      <c r="A125" t="s">
        <v>148</v>
      </c>
      <c r="B125">
        <v>1700</v>
      </c>
      <c r="G125" s="48"/>
      <c r="H125" s="193">
        <f>'General Fund - Revenue'!L27</f>
        <v>0</v>
      </c>
      <c r="I125" s="48"/>
      <c r="AT125"/>
    </row>
    <row r="126" spans="1:46" x14ac:dyDescent="0.25">
      <c r="A126" t="s">
        <v>227</v>
      </c>
      <c r="B126"/>
      <c r="C126" s="193">
        <f>'General Fund - Revenue'!I8</f>
        <v>10649.29</v>
      </c>
      <c r="D126" s="48" t="s">
        <v>219</v>
      </c>
      <c r="G126" s="48"/>
      <c r="H126" s="48"/>
      <c r="I126" s="48"/>
      <c r="AT126"/>
    </row>
    <row r="127" spans="1:46" x14ac:dyDescent="0.25">
      <c r="A127" t="s">
        <v>149</v>
      </c>
      <c r="B127">
        <v>1905</v>
      </c>
      <c r="C127" s="193">
        <f>'General Fund - Revenue'!L29</f>
        <v>0</v>
      </c>
      <c r="G127" s="48"/>
      <c r="H127" s="48"/>
      <c r="I127" s="48"/>
      <c r="AT127"/>
    </row>
    <row r="128" spans="1:46" x14ac:dyDescent="0.25">
      <c r="A128" t="s">
        <v>150</v>
      </c>
      <c r="B128">
        <v>2205</v>
      </c>
      <c r="D128" s="190">
        <f>'General Fund - Revenue'!L30</f>
        <v>91099</v>
      </c>
      <c r="G128" s="48"/>
      <c r="H128" s="48"/>
      <c r="I128" s="48"/>
      <c r="AT128"/>
    </row>
    <row r="129" spans="1:46" x14ac:dyDescent="0.25">
      <c r="A129" t="s">
        <v>151</v>
      </c>
      <c r="B129">
        <v>2210</v>
      </c>
      <c r="D129" s="191">
        <f>'General Fund - Revenue'!L31-23472</f>
        <v>-23472</v>
      </c>
      <c r="G129" s="48"/>
      <c r="H129" s="48"/>
      <c r="I129" s="48"/>
      <c r="AT129"/>
    </row>
    <row r="130" spans="1:46" x14ac:dyDescent="0.25">
      <c r="A130" t="s">
        <v>152</v>
      </c>
      <c r="B130">
        <v>2215</v>
      </c>
      <c r="D130" s="191">
        <f>'General Fund - Revenue'!L32</f>
        <v>0</v>
      </c>
      <c r="G130" s="48"/>
      <c r="H130" s="48"/>
      <c r="I130" s="48"/>
      <c r="AT130"/>
    </row>
    <row r="131" spans="1:46" x14ac:dyDescent="0.25">
      <c r="A131" t="s">
        <v>153</v>
      </c>
      <c r="B131">
        <v>2225</v>
      </c>
      <c r="D131" s="191">
        <f>'General Fund - Revenue'!L33</f>
        <v>739.02</v>
      </c>
      <c r="G131" s="48"/>
      <c r="H131" s="48"/>
      <c r="I131" s="48"/>
      <c r="AT131"/>
    </row>
    <row r="132" spans="1:46" x14ac:dyDescent="0.25">
      <c r="A132" t="s">
        <v>154</v>
      </c>
      <c r="B132">
        <v>2230</v>
      </c>
      <c r="D132" s="191">
        <f>'General Fund - Revenue'!L34</f>
        <v>0</v>
      </c>
      <c r="G132" s="48"/>
      <c r="H132" s="48"/>
      <c r="I132" s="48"/>
      <c r="AT132"/>
    </row>
    <row r="133" spans="1:46" x14ac:dyDescent="0.25">
      <c r="A133" t="s">
        <v>401</v>
      </c>
      <c r="B133">
        <v>2235</v>
      </c>
      <c r="D133" s="191">
        <f>'General Fund - Revenue'!L35</f>
        <v>0</v>
      </c>
      <c r="G133" s="48"/>
      <c r="H133" s="48"/>
      <c r="I133" s="48"/>
      <c r="AT133"/>
    </row>
    <row r="134" spans="1:46" x14ac:dyDescent="0.25">
      <c r="A134" t="s">
        <v>402</v>
      </c>
      <c r="B134">
        <v>2240</v>
      </c>
      <c r="D134" s="191">
        <f>'General Fund - Revenue'!L36</f>
        <v>0</v>
      </c>
      <c r="G134" s="48"/>
      <c r="H134" s="48"/>
      <c r="I134" s="48"/>
      <c r="AT134"/>
    </row>
    <row r="135" spans="1:46" x14ac:dyDescent="0.25">
      <c r="A135" t="s">
        <v>155</v>
      </c>
      <c r="B135">
        <v>2310</v>
      </c>
      <c r="D135" s="191">
        <f>'General Fund - Revenue'!L37</f>
        <v>35801.89</v>
      </c>
      <c r="G135" s="48"/>
      <c r="H135" s="48"/>
      <c r="I135" s="48"/>
      <c r="AT135"/>
    </row>
    <row r="136" spans="1:46" x14ac:dyDescent="0.25">
      <c r="A136" t="s">
        <v>156</v>
      </c>
      <c r="B136">
        <v>2311</v>
      </c>
      <c r="D136" s="192">
        <f>'General Fund - Revenue'!L38</f>
        <v>142463.07</v>
      </c>
      <c r="G136" s="48"/>
      <c r="H136" s="48"/>
      <c r="I136" s="48"/>
      <c r="AT136"/>
    </row>
    <row r="137" spans="1:46" x14ac:dyDescent="0.25">
      <c r="A137" t="s">
        <v>157</v>
      </c>
      <c r="B137">
        <v>3305</v>
      </c>
      <c r="E137" s="190">
        <f>'General Fund - Revenue'!L39</f>
        <v>0</v>
      </c>
      <c r="G137" s="48"/>
      <c r="H137" s="48"/>
      <c r="I137" s="48"/>
      <c r="AT137"/>
    </row>
    <row r="138" spans="1:46" x14ac:dyDescent="0.25">
      <c r="A138" t="s">
        <v>159</v>
      </c>
      <c r="B138">
        <v>4315</v>
      </c>
      <c r="E138" s="191">
        <f>'General Fund - Revenue'!L40</f>
        <v>0</v>
      </c>
      <c r="G138" s="48"/>
      <c r="H138" s="48"/>
      <c r="I138" s="48"/>
      <c r="AT138"/>
    </row>
    <row r="139" spans="1:46" x14ac:dyDescent="0.25">
      <c r="A139" t="s">
        <v>158</v>
      </c>
      <c r="B139">
        <v>4320</v>
      </c>
      <c r="E139" s="191">
        <f>'General Fund - Revenue'!L41</f>
        <v>318240.88</v>
      </c>
      <c r="G139" s="48"/>
      <c r="H139" s="48"/>
      <c r="I139" s="48"/>
      <c r="AT139"/>
    </row>
    <row r="140" spans="1:46" x14ac:dyDescent="0.25">
      <c r="A140" t="s">
        <v>160</v>
      </c>
      <c r="B140">
        <v>4325</v>
      </c>
      <c r="E140" s="192">
        <f>'General Fund - Revenue'!L42</f>
        <v>0</v>
      </c>
      <c r="G140" s="48"/>
      <c r="H140" s="48"/>
      <c r="I140" s="48"/>
      <c r="AT140"/>
    </row>
    <row r="141" spans="1:46" x14ac:dyDescent="0.25">
      <c r="A141" t="s">
        <v>161</v>
      </c>
      <c r="B141">
        <v>4405</v>
      </c>
      <c r="F141" s="193">
        <f>'General Fund - Revenue'!L43</f>
        <v>0</v>
      </c>
      <c r="G141" s="48"/>
      <c r="H141" s="48"/>
      <c r="I141" s="48"/>
      <c r="AT141"/>
    </row>
    <row r="142" spans="1:46" x14ac:dyDescent="0.25">
      <c r="A142" t="s">
        <v>162</v>
      </c>
      <c r="B142">
        <v>5505</v>
      </c>
      <c r="G142" s="193">
        <f>'General Fund - Revenue'!L44</f>
        <v>0</v>
      </c>
      <c r="H142" s="48"/>
      <c r="I142" s="48"/>
      <c r="AT142"/>
    </row>
    <row r="143" spans="1:46" x14ac:dyDescent="0.25">
      <c r="A143" t="s">
        <v>163</v>
      </c>
      <c r="B143">
        <v>5507</v>
      </c>
      <c r="C143" s="190">
        <f>'General Fund - Revenue'!L45</f>
        <v>0</v>
      </c>
      <c r="G143" s="194"/>
      <c r="H143" s="48"/>
      <c r="I143" s="48"/>
      <c r="AT143"/>
    </row>
    <row r="144" spans="1:46" x14ac:dyDescent="0.25">
      <c r="A144" t="s">
        <v>164</v>
      </c>
      <c r="B144">
        <v>8175</v>
      </c>
      <c r="C144" s="191">
        <f>'General Fund - Revenue'!L46</f>
        <v>0</v>
      </c>
      <c r="G144" s="48"/>
      <c r="H144" s="48"/>
      <c r="I144" s="48"/>
      <c r="AT144"/>
    </row>
    <row r="145" spans="1:46" x14ac:dyDescent="0.25">
      <c r="A145" t="s">
        <v>165</v>
      </c>
      <c r="B145">
        <v>8180</v>
      </c>
      <c r="C145" s="191">
        <f>'General Fund - Revenue'!L47</f>
        <v>0</v>
      </c>
      <c r="G145" s="48"/>
      <c r="H145" s="48"/>
      <c r="I145" s="48"/>
      <c r="AT145"/>
    </row>
    <row r="146" spans="1:46" x14ac:dyDescent="0.25">
      <c r="A146" t="s">
        <v>166</v>
      </c>
      <c r="B146">
        <v>8185</v>
      </c>
      <c r="C146" s="192">
        <f>'General Fund - Revenue'!L48</f>
        <v>0</v>
      </c>
      <c r="G146" s="48"/>
      <c r="H146" s="48"/>
      <c r="I146" s="48"/>
      <c r="AT146"/>
    </row>
    <row r="147" spans="1:46" x14ac:dyDescent="0.25">
      <c r="A147" t="s">
        <v>167</v>
      </c>
      <c r="B147">
        <v>8245</v>
      </c>
      <c r="C147" s="194"/>
      <c r="D147" s="190">
        <f>'General Fund - Revenue'!L49</f>
        <v>0</v>
      </c>
      <c r="G147" s="48"/>
      <c r="H147" s="48"/>
      <c r="I147" s="48"/>
      <c r="AT147"/>
    </row>
    <row r="148" spans="1:46" x14ac:dyDescent="0.25">
      <c r="A148" t="s">
        <v>168</v>
      </c>
      <c r="B148">
        <v>8250</v>
      </c>
      <c r="D148" s="191">
        <f>'General Fund - Revenue'!L50</f>
        <v>0</v>
      </c>
      <c r="G148" s="48"/>
      <c r="H148" s="48"/>
      <c r="I148" s="48"/>
      <c r="AT148"/>
    </row>
    <row r="149" spans="1:46" x14ac:dyDescent="0.25">
      <c r="A149" t="s">
        <v>169</v>
      </c>
      <c r="B149">
        <v>8255</v>
      </c>
      <c r="D149" s="191">
        <f>'General Fund - Revenue'!L51</f>
        <v>5524.91</v>
      </c>
      <c r="G149" s="48"/>
      <c r="H149" s="48"/>
      <c r="I149" s="48"/>
      <c r="AT149"/>
    </row>
    <row r="150" spans="1:46" x14ac:dyDescent="0.25">
      <c r="A150" t="s">
        <v>170</v>
      </c>
      <c r="B150">
        <v>8260</v>
      </c>
      <c r="D150" s="191">
        <f>'General Fund - Revenue'!L52</f>
        <v>303151.09000000003</v>
      </c>
      <c r="G150" s="48"/>
      <c r="H150" s="48"/>
      <c r="I150" s="48"/>
      <c r="AT150"/>
    </row>
    <row r="151" spans="1:46" x14ac:dyDescent="0.25">
      <c r="A151" t="s">
        <v>171</v>
      </c>
      <c r="B151">
        <v>8265</v>
      </c>
      <c r="D151" s="191">
        <f>'General Fund - Revenue'!L53</f>
        <v>0</v>
      </c>
      <c r="G151" s="48"/>
      <c r="H151" s="48"/>
      <c r="I151" s="48"/>
      <c r="AT151"/>
    </row>
    <row r="152" spans="1:46" x14ac:dyDescent="0.25">
      <c r="A152" t="s">
        <v>172</v>
      </c>
      <c r="B152">
        <v>8270</v>
      </c>
      <c r="D152" s="192">
        <f>'General Fund - Revenue'!L54</f>
        <v>0</v>
      </c>
      <c r="G152" s="48"/>
      <c r="H152" s="48"/>
      <c r="I152" s="48"/>
      <c r="AT152"/>
    </row>
    <row r="153" spans="1:46" x14ac:dyDescent="0.25">
      <c r="A153" t="s">
        <v>173</v>
      </c>
      <c r="B153">
        <v>9110</v>
      </c>
      <c r="C153" s="190">
        <f>'General Fund - Revenue'!L55</f>
        <v>0</v>
      </c>
      <c r="G153" s="48"/>
      <c r="H153" s="48"/>
      <c r="I153" s="48"/>
      <c r="AT153"/>
    </row>
    <row r="154" spans="1:46" x14ac:dyDescent="0.25">
      <c r="A154" t="s">
        <v>174</v>
      </c>
      <c r="B154">
        <v>9115</v>
      </c>
      <c r="C154" s="191">
        <f>'General Fund - Revenue'!L56</f>
        <v>32.380000000000003</v>
      </c>
      <c r="G154" s="48"/>
      <c r="H154" s="48"/>
      <c r="I154" s="48"/>
      <c r="AT154"/>
    </row>
    <row r="155" spans="1:46" x14ac:dyDescent="0.25">
      <c r="A155" t="s">
        <v>175</v>
      </c>
      <c r="B155">
        <v>9125</v>
      </c>
      <c r="C155" s="191">
        <f>'General Fund - Revenue'!L57</f>
        <v>0</v>
      </c>
      <c r="G155" s="48"/>
      <c r="H155" s="48"/>
      <c r="I155" s="48"/>
      <c r="AT155"/>
    </row>
    <row r="156" spans="1:46" x14ac:dyDescent="0.25">
      <c r="A156" t="s">
        <v>176</v>
      </c>
      <c r="B156">
        <v>9130</v>
      </c>
      <c r="C156" s="191">
        <f>'General Fund - Revenue'!L58</f>
        <v>0</v>
      </c>
      <c r="G156" s="48"/>
      <c r="H156" s="48"/>
      <c r="I156" s="48"/>
      <c r="AT156"/>
    </row>
    <row r="157" spans="1:46" x14ac:dyDescent="0.25">
      <c r="A157" t="s">
        <v>177</v>
      </c>
      <c r="B157">
        <v>9190</v>
      </c>
      <c r="C157" s="192">
        <f>'General Fund - Revenue'!L59</f>
        <v>1390496.55</v>
      </c>
      <c r="G157" s="48"/>
      <c r="H157" s="48"/>
      <c r="I157" s="48"/>
      <c r="AT157"/>
    </row>
    <row r="158" spans="1:46" x14ac:dyDescent="0.25">
      <c r="A158" t="s">
        <v>228</v>
      </c>
      <c r="B158">
        <v>9605</v>
      </c>
      <c r="G158" s="48"/>
      <c r="H158" s="48"/>
      <c r="I158" s="193">
        <f>'General Fund - Revenue'!L60</f>
        <v>43183</v>
      </c>
      <c r="AT158"/>
    </row>
    <row r="159" spans="1:46" x14ac:dyDescent="0.25">
      <c r="A159" t="s">
        <v>178</v>
      </c>
      <c r="B159">
        <v>9710</v>
      </c>
      <c r="G159" s="48"/>
      <c r="H159" s="193">
        <f>'General Fund - Revenue'!L61</f>
        <v>0</v>
      </c>
      <c r="I159" s="48"/>
      <c r="AT159"/>
    </row>
    <row r="160" spans="1:46" x14ac:dyDescent="0.25">
      <c r="A160" t="s">
        <v>179</v>
      </c>
      <c r="B160">
        <v>9805</v>
      </c>
      <c r="C160" s="190">
        <f>'General Fund - Revenue'!L62</f>
        <v>0</v>
      </c>
      <c r="G160" s="48"/>
      <c r="H160" s="48"/>
      <c r="I160" s="48"/>
      <c r="AT160"/>
    </row>
    <row r="161" spans="1:46" x14ac:dyDescent="0.25">
      <c r="A161" t="s">
        <v>180</v>
      </c>
      <c r="B161">
        <v>9810</v>
      </c>
      <c r="C161" s="191">
        <f>'General Fund - Revenue'!L63</f>
        <v>0</v>
      </c>
      <c r="G161" s="48"/>
      <c r="H161" s="48"/>
      <c r="I161" s="48"/>
      <c r="J161" s="199" t="s">
        <v>83</v>
      </c>
      <c r="AT161"/>
    </row>
    <row r="162" spans="1:46" x14ac:dyDescent="0.25">
      <c r="A162" s="149" t="s">
        <v>73</v>
      </c>
      <c r="C162" s="182">
        <f>SUM(C105:C161)</f>
        <v>1468830.85</v>
      </c>
      <c r="D162" s="183">
        <f t="shared" ref="D162" si="3">SUM(D105:D161)</f>
        <v>558699.71000000008</v>
      </c>
      <c r="E162" s="185">
        <f t="shared" ref="E162" si="4">SUM(E105:E161)</f>
        <v>376925.71</v>
      </c>
      <c r="F162" s="184">
        <f t="shared" ref="F162" si="5">SUM(F105:F161)</f>
        <v>0</v>
      </c>
      <c r="G162" s="186">
        <f t="shared" ref="G162" si="6">SUM(G105:G161)</f>
        <v>0</v>
      </c>
      <c r="H162" s="187">
        <f t="shared" ref="H162" si="7">SUM(H105:H161)</f>
        <v>0</v>
      </c>
      <c r="I162" s="201">
        <f t="shared" ref="I162" si="8">SUM(I105:I161)</f>
        <v>60456.2</v>
      </c>
      <c r="J162" s="149">
        <f>SUM(C162:I162)</f>
        <v>2464912.4700000002</v>
      </c>
      <c r="AT162"/>
    </row>
    <row r="163" spans="1:46" x14ac:dyDescent="0.25">
      <c r="A163" s="48"/>
      <c r="G163" s="48"/>
      <c r="H163" s="48"/>
      <c r="J163"/>
      <c r="AT163"/>
    </row>
    <row r="164" spans="1:46" x14ac:dyDescent="0.25">
      <c r="A164" s="48"/>
      <c r="G164" s="48"/>
      <c r="H164" s="48"/>
      <c r="J164"/>
      <c r="AT164"/>
    </row>
    <row r="165" spans="1:46" ht="60" x14ac:dyDescent="0.25">
      <c r="B165" s="142" t="s">
        <v>477</v>
      </c>
      <c r="C165" s="142" t="s">
        <v>485</v>
      </c>
      <c r="D165" s="142" t="s">
        <v>486</v>
      </c>
      <c r="E165" s="142" t="s">
        <v>125</v>
      </c>
      <c r="F165" s="142" t="s">
        <v>485</v>
      </c>
      <c r="G165" s="142" t="s">
        <v>487</v>
      </c>
      <c r="H165" s="142" t="s">
        <v>478</v>
      </c>
      <c r="I165" s="142" t="s">
        <v>485</v>
      </c>
      <c r="J165" s="142" t="s">
        <v>488</v>
      </c>
      <c r="K165" s="142" t="s">
        <v>479</v>
      </c>
      <c r="L165" s="142" t="s">
        <v>485</v>
      </c>
      <c r="M165" s="142" t="s">
        <v>489</v>
      </c>
      <c r="N165" s="49" t="s">
        <v>54</v>
      </c>
      <c r="O165" s="49" t="s">
        <v>55</v>
      </c>
      <c r="P165" s="49" t="s">
        <v>225</v>
      </c>
      <c r="Q165" s="177" t="s">
        <v>64</v>
      </c>
      <c r="R165" s="177" t="s">
        <v>315</v>
      </c>
      <c r="S165" s="178" t="s">
        <v>403</v>
      </c>
      <c r="T165" s="177" t="s">
        <v>68</v>
      </c>
      <c r="U165" s="177" t="s">
        <v>69</v>
      </c>
      <c r="V165" s="49" t="s">
        <v>70</v>
      </c>
      <c r="W165" s="49" t="s">
        <v>71</v>
      </c>
      <c r="X165" s="49" t="s">
        <v>72</v>
      </c>
      <c r="Y165" s="49" t="s">
        <v>74</v>
      </c>
      <c r="Z165" s="49" t="s">
        <v>75</v>
      </c>
      <c r="AA165" s="49" t="s">
        <v>76</v>
      </c>
      <c r="AB165" s="49" t="s">
        <v>77</v>
      </c>
      <c r="AC165" s="49" t="s">
        <v>78</v>
      </c>
      <c r="AD165" s="49" t="s">
        <v>244</v>
      </c>
      <c r="AE165" s="49" t="s">
        <v>79</v>
      </c>
      <c r="AF165" s="49" t="s">
        <v>81</v>
      </c>
      <c r="AG165" s="49" t="s">
        <v>82</v>
      </c>
      <c r="AH165" s="49" t="s">
        <v>65</v>
      </c>
      <c r="AI165" s="49" t="s">
        <v>492</v>
      </c>
      <c r="AJ165" s="49" t="s">
        <v>490</v>
      </c>
      <c r="AK165" s="49" t="s">
        <v>491</v>
      </c>
      <c r="AL165" s="179" t="s">
        <v>482</v>
      </c>
      <c r="AT165"/>
    </row>
    <row r="166" spans="1:46" x14ac:dyDescent="0.25">
      <c r="A166" s="175" t="s">
        <v>22</v>
      </c>
      <c r="B166" s="48">
        <f>'General Fund'!M59</f>
        <v>2316964.63</v>
      </c>
      <c r="D166" s="48">
        <f>B166+C166</f>
        <v>2316964.63</v>
      </c>
      <c r="E166" s="48">
        <f>'ALL GOVERNMENT FUNDS'!C62</f>
        <v>0</v>
      </c>
      <c r="G166" s="48">
        <f>E166+F166</f>
        <v>0</v>
      </c>
      <c r="H166" s="48">
        <f>'Front Stmts'!D75</f>
        <v>120237.89</v>
      </c>
      <c r="I166" s="48"/>
      <c r="J166" s="186">
        <f>H166+I166</f>
        <v>120237.89</v>
      </c>
      <c r="K166" s="48">
        <f>'ALL GOVERNMENT FUNDS'!E62</f>
        <v>24449.930000000051</v>
      </c>
      <c r="M166" s="186">
        <f>K166+L166</f>
        <v>24449.930000000051</v>
      </c>
      <c r="N166" s="184">
        <f>'Other Government'!B48</f>
        <v>0</v>
      </c>
      <c r="O166" s="186">
        <f>'Other Government'!C48</f>
        <v>31705.02</v>
      </c>
      <c r="P166" s="184">
        <f>'Other Government'!D48</f>
        <v>297973.53000000003</v>
      </c>
      <c r="Q166" s="185">
        <f>'Other Government'!E48</f>
        <v>20500</v>
      </c>
      <c r="R166" s="184">
        <f>'Other Government'!F48</f>
        <v>0</v>
      </c>
      <c r="S166" s="183">
        <f>'Other Government'!G48</f>
        <v>25860</v>
      </c>
      <c r="T166" s="183">
        <f>'Other Government'!K48</f>
        <v>0</v>
      </c>
      <c r="U166" s="183">
        <f>'Other Government'!L48</f>
        <v>0</v>
      </c>
      <c r="V166" s="183">
        <f>'Other Government'!M48</f>
        <v>2542.09</v>
      </c>
      <c r="W166" s="182">
        <f>'Other Government'!N48</f>
        <v>10978</v>
      </c>
      <c r="X166" s="183">
        <f>'Other Government'!Q48</f>
        <v>7354.97</v>
      </c>
      <c r="Y166" s="186">
        <f>'Other Government'!R48</f>
        <v>1000</v>
      </c>
      <c r="Z166" s="186">
        <f>'Other Government'!U48</f>
        <v>0</v>
      </c>
      <c r="AA166" s="186">
        <f>'Other Government'!X48</f>
        <v>0</v>
      </c>
      <c r="AB166" s="186">
        <f>'Other Government'!Y48</f>
        <v>0</v>
      </c>
      <c r="AC166" s="186">
        <f>'Other Government'!Z48</f>
        <v>0</v>
      </c>
      <c r="AD166" s="186">
        <f>'Other Government'!AA48</f>
        <v>0</v>
      </c>
      <c r="AE166" s="48">
        <f>'Other Government'!AB48</f>
        <v>0</v>
      </c>
      <c r="AF166" s="183">
        <f>'Other Government'!AD48</f>
        <v>0</v>
      </c>
      <c r="AG166" s="183">
        <f>'Other Government'!AG48</f>
        <v>100357.39</v>
      </c>
      <c r="AH166" s="185">
        <f>'Other Government'!AH48</f>
        <v>0</v>
      </c>
      <c r="AI166" s="48">
        <f>SUM(N166:AH166)</f>
        <v>498271.00000000006</v>
      </c>
      <c r="AK166" s="48">
        <f>AI166+AJ166</f>
        <v>498271.00000000006</v>
      </c>
      <c r="AL166" s="48">
        <f>D166+G166+J166+M166+AK166</f>
        <v>2959923.45</v>
      </c>
      <c r="AT166"/>
    </row>
    <row r="167" spans="1:46" ht="30" x14ac:dyDescent="0.25">
      <c r="A167" s="174" t="s">
        <v>480</v>
      </c>
      <c r="B167" s="48">
        <f>'General Fund'!M58</f>
        <v>2464912.4700000002</v>
      </c>
      <c r="D167" s="48">
        <f t="shared" ref="D167:D174" si="9">B167+C167</f>
        <v>2464912.4700000002</v>
      </c>
      <c r="E167" s="48">
        <f>'ALL GOVERNMENT FUNDS'!C61</f>
        <v>0</v>
      </c>
      <c r="G167" s="48">
        <f t="shared" ref="G167:G175" si="10">E167+F167</f>
        <v>0</v>
      </c>
      <c r="H167" s="48">
        <f>'ALL GOVERNMENT FUNDS'!D61</f>
        <v>16690296.030000001</v>
      </c>
      <c r="I167" s="48">
        <v>177061</v>
      </c>
      <c r="J167" s="186">
        <f t="shared" ref="J167:J175" si="11">H167+I167</f>
        <v>16867357.030000001</v>
      </c>
      <c r="K167" s="48">
        <f>'ALL GOVERNMENT FUNDS'!E61</f>
        <v>8816839.7800000012</v>
      </c>
      <c r="M167" s="186">
        <f t="shared" ref="M167:M175" si="12">K167+L167</f>
        <v>8816839.7800000012</v>
      </c>
      <c r="N167" s="184">
        <f>'Other Government'!B47</f>
        <v>668463.57000000007</v>
      </c>
      <c r="O167" s="186">
        <f>'Other Government'!C47</f>
        <v>0</v>
      </c>
      <c r="P167" s="184">
        <f>'Other Government'!D47</f>
        <v>345008.76</v>
      </c>
      <c r="Q167" s="185">
        <f>'Other Government'!E47</f>
        <v>7860.29</v>
      </c>
      <c r="R167" s="184">
        <f>'Other Government'!F47</f>
        <v>123579.58</v>
      </c>
      <c r="S167" s="183">
        <f>'Other Government'!G47</f>
        <v>0</v>
      </c>
      <c r="T167" s="183">
        <f>'Other Government'!K47</f>
        <v>0</v>
      </c>
      <c r="U167" s="183">
        <f>'Other Government'!L47</f>
        <v>89481.61</v>
      </c>
      <c r="V167" s="183">
        <f>'Other Government'!M47</f>
        <v>0</v>
      </c>
      <c r="W167" s="182">
        <f>'Other Government'!N47</f>
        <v>0</v>
      </c>
      <c r="X167" s="183">
        <f>'Other Government'!Q47</f>
        <v>0</v>
      </c>
      <c r="Y167" s="186">
        <f>'Other Government'!R47</f>
        <v>297558.03000000003</v>
      </c>
      <c r="Z167" s="186">
        <f>'Other Government'!U47</f>
        <v>341699</v>
      </c>
      <c r="AA167" s="186">
        <f>'Other Government'!X47</f>
        <v>161312.82999999999</v>
      </c>
      <c r="AB167" s="186">
        <f>'Other Government'!Y47</f>
        <v>36476</v>
      </c>
      <c r="AC167" s="186">
        <f>'Other Government'!Z47</f>
        <v>137338.89000000001</v>
      </c>
      <c r="AD167" s="186">
        <f>'Other Government'!AA47</f>
        <v>1229663</v>
      </c>
      <c r="AE167" s="48">
        <f>'Other Government'!AB47</f>
        <v>0</v>
      </c>
      <c r="AF167" s="183">
        <f>'Other Government'!AD47</f>
        <v>0</v>
      </c>
      <c r="AG167" s="183">
        <f>'Other Government'!AG47</f>
        <v>340632.31</v>
      </c>
      <c r="AH167" s="185">
        <f>'Other Government'!AH47</f>
        <v>1833396.3800000001</v>
      </c>
      <c r="AI167" s="48">
        <f t="shared" ref="AI167:AI175" si="13">SUM(N167:AH167)</f>
        <v>5612470.2500000009</v>
      </c>
      <c r="AK167" s="48">
        <f t="shared" ref="AK167:AK175" si="14">AI167+AJ167</f>
        <v>5612470.2500000009</v>
      </c>
      <c r="AL167" s="48">
        <f t="shared" ref="AL167:AL175" si="15">D167+G167+J167+M167+AK167</f>
        <v>33761579.530000001</v>
      </c>
      <c r="AT167"/>
    </row>
    <row r="168" spans="1:46" x14ac:dyDescent="0.25">
      <c r="A168" s="176" t="s">
        <v>481</v>
      </c>
      <c r="D168" s="48">
        <f t="shared" si="9"/>
        <v>0</v>
      </c>
      <c r="G168" s="48">
        <f t="shared" si="10"/>
        <v>0</v>
      </c>
      <c r="H168" s="48"/>
      <c r="I168" s="48"/>
      <c r="J168" s="186">
        <f t="shared" si="11"/>
        <v>0</v>
      </c>
      <c r="M168" s="186">
        <f t="shared" si="12"/>
        <v>0</v>
      </c>
      <c r="N168" s="184"/>
      <c r="O168" s="186"/>
      <c r="P168" s="184"/>
      <c r="Q168" s="185"/>
      <c r="R168" s="184"/>
      <c r="S168" s="183"/>
      <c r="T168" s="183"/>
      <c r="U168" s="183"/>
      <c r="V168" s="183"/>
      <c r="W168" s="182"/>
      <c r="X168" s="183"/>
      <c r="Y168" s="186"/>
      <c r="Z168" s="186"/>
      <c r="AA168" s="186"/>
      <c r="AB168" s="186"/>
      <c r="AC168" s="186"/>
      <c r="AD168" s="186"/>
      <c r="AF168" s="183"/>
      <c r="AG168" s="183"/>
      <c r="AH168" s="185"/>
      <c r="AI168" s="48">
        <f t="shared" si="13"/>
        <v>0</v>
      </c>
      <c r="AK168" s="48">
        <f t="shared" si="14"/>
        <v>0</v>
      </c>
      <c r="AL168" s="48">
        <f t="shared" si="15"/>
        <v>0</v>
      </c>
      <c r="AT168"/>
    </row>
    <row r="169" spans="1:46" x14ac:dyDescent="0.25">
      <c r="A169" s="174" t="s">
        <v>500</v>
      </c>
      <c r="B169" s="48">
        <f>'General Fund'!M64-'General Fund'!M56-'General Fund'!M58-'General Fund'!M59-'General Fund'!M61-'General Fund'!M63</f>
        <v>167132.46000000124</v>
      </c>
      <c r="D169" s="48">
        <f t="shared" si="9"/>
        <v>167132.46000000124</v>
      </c>
      <c r="E169" s="48">
        <f>'ALL GOVERNMENT FUNDS'!C67-'ALL GOVERNMENT FUNDS'!C59-'ALL GOVERNMENT FUNDS'!C61-'ALL GOVERNMENT FUNDS'!C62-'ALL GOVERNMENT FUNDS'!C64-'ALL GOVERNMENT FUNDS'!C66</f>
        <v>0</v>
      </c>
      <c r="G169" s="48">
        <f t="shared" si="10"/>
        <v>0</v>
      </c>
      <c r="H169" s="48">
        <f>'ALL GOVERNMENT FUNDS'!D67-'ALL GOVERNMENT FUNDS'!D61-'ALL GOVERNMENT FUNDS'!D62-'ALL GOVERNMENT FUNDS'!D64-'ALL GOVERNMENT FUNDS'!D66</f>
        <v>215287.7999999992</v>
      </c>
      <c r="I169" s="48"/>
      <c r="J169" s="186">
        <f t="shared" si="11"/>
        <v>215287.7999999992</v>
      </c>
      <c r="K169" s="48">
        <f>'ALL GOVERNMENT FUNDS'!E67-'ALL GOVERNMENT FUNDS'!E61-'ALL GOVERNMENT FUNDS'!E62-'ALL GOVERNMENT FUNDS'!E64-'ALL GOVERNMENT FUNDS'!E66</f>
        <v>-1.2433361007424537E-9</v>
      </c>
      <c r="M169" s="186">
        <f t="shared" si="12"/>
        <v>-1.2433361007424537E-9</v>
      </c>
      <c r="N169" s="184">
        <f>'Other Government'!B49</f>
        <v>0</v>
      </c>
      <c r="O169" s="186">
        <f>'Other Government'!C49</f>
        <v>0</v>
      </c>
      <c r="P169" s="184">
        <f>'Other Government'!C49</f>
        <v>0</v>
      </c>
      <c r="Q169" s="185">
        <f>'Other Government'!E49</f>
        <v>0</v>
      </c>
      <c r="R169" s="184">
        <f>'Other Government'!F49</f>
        <v>0</v>
      </c>
      <c r="S169" s="183">
        <f>'Other Government'!G49</f>
        <v>0</v>
      </c>
      <c r="T169" s="183">
        <f>'Other Government'!K49</f>
        <v>54970.97</v>
      </c>
      <c r="U169" s="183">
        <f>'Other Government'!L49</f>
        <v>0</v>
      </c>
      <c r="V169" s="183">
        <f>'Other Government'!M49</f>
        <v>0</v>
      </c>
      <c r="W169" s="182">
        <f>'Other Government'!N49</f>
        <v>0</v>
      </c>
      <c r="X169" s="183">
        <f>'Other Government'!Q49</f>
        <v>0</v>
      </c>
      <c r="Y169" s="186">
        <f>'Other Government'!R49</f>
        <v>0</v>
      </c>
      <c r="Z169" s="186">
        <f>'Other Government'!W49</f>
        <v>0</v>
      </c>
      <c r="AA169" s="186">
        <f>'Other Government'!X49</f>
        <v>0</v>
      </c>
      <c r="AB169" s="186">
        <f>'Other Government'!Y49</f>
        <v>0</v>
      </c>
      <c r="AC169" s="186">
        <f>'Other Government'!Z49</f>
        <v>40</v>
      </c>
      <c r="AD169" s="186">
        <f>'Other Government'!AA49</f>
        <v>0</v>
      </c>
      <c r="AE169" s="48">
        <f>'Other Government'!AB49</f>
        <v>0</v>
      </c>
      <c r="AF169" s="183">
        <f>'Other Government'!AD49</f>
        <v>0</v>
      </c>
      <c r="AG169" s="183">
        <f>'Other Government'!AG49</f>
        <v>0</v>
      </c>
      <c r="AH169" s="185">
        <f>'Other Government'!AH49</f>
        <v>0</v>
      </c>
      <c r="AI169" s="48">
        <f t="shared" si="13"/>
        <v>55010.97</v>
      </c>
      <c r="AK169" s="48">
        <f t="shared" si="14"/>
        <v>55010.97</v>
      </c>
      <c r="AL169" s="48">
        <f t="shared" si="15"/>
        <v>437431.22999999928</v>
      </c>
      <c r="AT169"/>
    </row>
    <row r="170" spans="1:46" x14ac:dyDescent="0.25">
      <c r="A170" s="77" t="s">
        <v>24</v>
      </c>
      <c r="B170" s="48">
        <f>'General Fund'!M63</f>
        <v>352595.76</v>
      </c>
      <c r="D170" s="48">
        <f t="shared" si="9"/>
        <v>352595.76</v>
      </c>
      <c r="E170" s="48">
        <f>'ALL GOVERNMENT FUNDS'!C66</f>
        <v>0</v>
      </c>
      <c r="F170" s="48">
        <v>11040</v>
      </c>
      <c r="G170" s="48">
        <f t="shared" si="10"/>
        <v>11040</v>
      </c>
      <c r="H170" s="48">
        <f>'ALL GOVERNMENT FUNDS'!D66</f>
        <v>214519.75000000003</v>
      </c>
      <c r="I170" s="48">
        <v>-177061</v>
      </c>
      <c r="J170" s="186">
        <f t="shared" si="11"/>
        <v>37458.750000000029</v>
      </c>
      <c r="K170" s="48">
        <f>'ALL GOVERNMENT FUNDS'!E66</f>
        <v>0</v>
      </c>
      <c r="M170" s="186">
        <f t="shared" si="12"/>
        <v>0</v>
      </c>
      <c r="N170" s="184">
        <f>'Other Government'!B51</f>
        <v>0</v>
      </c>
      <c r="O170" s="186">
        <f>'Other Government'!C51</f>
        <v>0</v>
      </c>
      <c r="P170" s="184">
        <f>'Other Government'!D51</f>
        <v>19675.32</v>
      </c>
      <c r="Q170" s="185">
        <f>'Other Government'!E51</f>
        <v>0</v>
      </c>
      <c r="R170" s="184">
        <f>'Other Government'!F51</f>
        <v>0</v>
      </c>
      <c r="S170" s="183">
        <f>'Other Government'!G51</f>
        <v>0</v>
      </c>
      <c r="T170" s="183">
        <f>'Other Government'!K51</f>
        <v>0</v>
      </c>
      <c r="U170" s="183">
        <f>'Other Government'!L51</f>
        <v>0</v>
      </c>
      <c r="V170" s="183">
        <f>'Other Government'!M51</f>
        <v>0</v>
      </c>
      <c r="W170" s="182">
        <f>'Other Government'!N51</f>
        <v>0</v>
      </c>
      <c r="X170" s="183">
        <f>'Other Government'!Q51</f>
        <v>0</v>
      </c>
      <c r="Y170" s="186">
        <f>'Other Government'!R51</f>
        <v>0</v>
      </c>
      <c r="Z170" s="186">
        <f>'Other Government'!U51</f>
        <v>0</v>
      </c>
      <c r="AA170" s="186">
        <f>'Other Government'!X51</f>
        <v>0</v>
      </c>
      <c r="AB170" s="186">
        <f>'Other Government'!Y51</f>
        <v>0</v>
      </c>
      <c r="AC170" s="186">
        <f>'Other Government'!Z51</f>
        <v>0</v>
      </c>
      <c r="AD170" s="186">
        <f>'Other Government'!AA51</f>
        <v>0</v>
      </c>
      <c r="AE170" s="48">
        <f>'Other Government'!AB51</f>
        <v>0</v>
      </c>
      <c r="AF170" s="183">
        <f>'Other Government'!AD51</f>
        <v>0</v>
      </c>
      <c r="AG170" s="183">
        <f>'Other Government'!AG51</f>
        <v>1361</v>
      </c>
      <c r="AH170" s="185">
        <f>'Other Government'!AH51</f>
        <v>0</v>
      </c>
      <c r="AI170" s="48">
        <f t="shared" si="13"/>
        <v>21036.32</v>
      </c>
      <c r="AK170" s="48">
        <f t="shared" si="14"/>
        <v>21036.32</v>
      </c>
      <c r="AL170" s="48">
        <f t="shared" si="15"/>
        <v>422130.83</v>
      </c>
      <c r="AT170"/>
    </row>
    <row r="171" spans="1:46" x14ac:dyDescent="0.25">
      <c r="A171" s="77" t="s">
        <v>23</v>
      </c>
      <c r="B171" s="48">
        <f>'General Fund'!M61</f>
        <v>22549.869999999995</v>
      </c>
      <c r="D171" s="48">
        <f t="shared" si="9"/>
        <v>22549.869999999995</v>
      </c>
      <c r="E171" s="48">
        <f>'ALL GOVERNMENT FUNDS'!C64</f>
        <v>631.82999999999993</v>
      </c>
      <c r="G171" s="48">
        <f t="shared" si="10"/>
        <v>631.82999999999993</v>
      </c>
      <c r="H171" s="48">
        <f>'ALL GOVERNMENT FUNDS'!D64</f>
        <v>5509.26</v>
      </c>
      <c r="I171" s="48"/>
      <c r="J171" s="186">
        <f t="shared" si="11"/>
        <v>5509.26</v>
      </c>
      <c r="K171" s="48">
        <f>'ALL GOVERNMENT FUNDS'!E64</f>
        <v>466.04</v>
      </c>
      <c r="M171" s="186">
        <f t="shared" si="12"/>
        <v>466.04</v>
      </c>
      <c r="N171" s="184">
        <f>'Other Government'!B50</f>
        <v>2803.03</v>
      </c>
      <c r="O171" s="186">
        <f>'Other Government'!C50</f>
        <v>35.46</v>
      </c>
      <c r="P171" s="184">
        <f>'Other Government'!D50</f>
        <v>683.78</v>
      </c>
      <c r="Q171" s="185">
        <f>'Other Government'!E50</f>
        <v>156.30000000000001</v>
      </c>
      <c r="R171" s="184">
        <f>'Other Government'!F50</f>
        <v>592.48</v>
      </c>
      <c r="S171" s="183">
        <f>'Other Government'!G50</f>
        <v>19.52</v>
      </c>
      <c r="T171" s="183">
        <f>'Other Government'!K50</f>
        <v>670.98</v>
      </c>
      <c r="U171" s="183">
        <f>'Other Government'!L50</f>
        <v>971.32</v>
      </c>
      <c r="V171" s="183">
        <f>'Other Government'!M50</f>
        <v>16.03</v>
      </c>
      <c r="W171" s="182">
        <f>'Other Government'!N50</f>
        <v>71.930000000000007</v>
      </c>
      <c r="X171" s="183">
        <f>'Other Government'!Q50</f>
        <v>61.41</v>
      </c>
      <c r="Y171" s="186">
        <f>'Other Government'!R50</f>
        <v>4.33</v>
      </c>
      <c r="Z171" s="186">
        <f>'Other Government'!U50</f>
        <v>0</v>
      </c>
      <c r="AA171" s="186">
        <f>'Other Government'!X50</f>
        <v>-2</v>
      </c>
      <c r="AB171" s="186">
        <f>'Other Government'!Y50</f>
        <v>0</v>
      </c>
      <c r="AC171" s="186">
        <f>'Other Government'!Z50</f>
        <v>4086.08</v>
      </c>
      <c r="AD171" s="186">
        <f>'Other Government'!AA50</f>
        <v>47.58</v>
      </c>
      <c r="AE171" s="48">
        <f>'Other Government'!AB50</f>
        <v>11353.08</v>
      </c>
      <c r="AF171" s="183">
        <f>'Other Government'!AD50</f>
        <v>25.62</v>
      </c>
      <c r="AG171" s="183">
        <f>'Other Government'!AG50</f>
        <v>1603.04</v>
      </c>
      <c r="AH171" s="185">
        <f>'Other Government'!AH50</f>
        <v>4120.6900000000005</v>
      </c>
      <c r="AI171" s="48">
        <f t="shared" si="13"/>
        <v>27320.660000000003</v>
      </c>
      <c r="AK171" s="48">
        <f t="shared" si="14"/>
        <v>27320.660000000003</v>
      </c>
      <c r="AL171" s="48">
        <f t="shared" si="15"/>
        <v>56477.66</v>
      </c>
      <c r="AT171"/>
    </row>
    <row r="172" spans="1:46" x14ac:dyDescent="0.25">
      <c r="A172" s="77" t="s">
        <v>483</v>
      </c>
      <c r="B172" s="48">
        <f>'General Fund'!M56</f>
        <v>11774725.77</v>
      </c>
      <c r="C172" s="48">
        <f>'Front Stmts'!L72</f>
        <v>-5676</v>
      </c>
      <c r="D172" s="48">
        <f t="shared" si="9"/>
        <v>11769049.77</v>
      </c>
      <c r="G172" s="48">
        <f t="shared" si="10"/>
        <v>0</v>
      </c>
      <c r="H172" s="48"/>
      <c r="I172" s="48"/>
      <c r="J172" s="186">
        <f t="shared" si="11"/>
        <v>0</v>
      </c>
      <c r="M172" s="186">
        <f t="shared" si="12"/>
        <v>0</v>
      </c>
      <c r="N172" s="184"/>
      <c r="O172" s="186"/>
      <c r="P172" s="184"/>
      <c r="Q172" s="185"/>
      <c r="R172" s="184"/>
      <c r="S172" s="183"/>
      <c r="T172" s="183"/>
      <c r="U172" s="183"/>
      <c r="V172" s="183"/>
      <c r="W172" s="182"/>
      <c r="X172" s="183"/>
      <c r="Y172" s="186"/>
      <c r="Z172" s="186"/>
      <c r="AA172" s="186"/>
      <c r="AB172" s="186"/>
      <c r="AC172" s="186"/>
      <c r="AD172" s="186"/>
      <c r="AF172" s="183"/>
      <c r="AG172" s="183"/>
      <c r="AH172" s="185"/>
      <c r="AI172" s="48">
        <f t="shared" si="13"/>
        <v>0</v>
      </c>
      <c r="AK172" s="48">
        <f t="shared" si="14"/>
        <v>0</v>
      </c>
      <c r="AL172" s="48">
        <f t="shared" si="15"/>
        <v>11769049.77</v>
      </c>
      <c r="AT172"/>
    </row>
    <row r="173" spans="1:46" x14ac:dyDescent="0.25">
      <c r="A173" s="77" t="s">
        <v>484</v>
      </c>
      <c r="B173" s="48">
        <f>'General Fund'!M62</f>
        <v>0</v>
      </c>
      <c r="D173" s="48">
        <f t="shared" si="9"/>
        <v>0</v>
      </c>
      <c r="G173" s="48">
        <f t="shared" si="10"/>
        <v>0</v>
      </c>
      <c r="H173" s="48"/>
      <c r="I173" s="48"/>
      <c r="J173" s="186">
        <f t="shared" si="11"/>
        <v>0</v>
      </c>
      <c r="M173" s="186">
        <f t="shared" si="12"/>
        <v>0</v>
      </c>
      <c r="N173" s="184"/>
      <c r="O173" s="186"/>
      <c r="P173" s="184"/>
      <c r="Q173" s="185"/>
      <c r="R173" s="184"/>
      <c r="S173" s="183"/>
      <c r="T173" s="183"/>
      <c r="U173" s="183"/>
      <c r="V173" s="183"/>
      <c r="W173" s="182"/>
      <c r="X173" s="183"/>
      <c r="Y173" s="186"/>
      <c r="Z173" s="186"/>
      <c r="AA173" s="186"/>
      <c r="AB173" s="186"/>
      <c r="AC173" s="186"/>
      <c r="AD173" s="186"/>
      <c r="AF173" s="183"/>
      <c r="AG173" s="183"/>
      <c r="AH173" s="185"/>
      <c r="AI173" s="48">
        <f t="shared" si="13"/>
        <v>0</v>
      </c>
      <c r="AK173" s="48">
        <f t="shared" si="14"/>
        <v>0</v>
      </c>
      <c r="AL173" s="48">
        <f t="shared" si="15"/>
        <v>0</v>
      </c>
      <c r="AT173"/>
    </row>
    <row r="174" spans="1:46" x14ac:dyDescent="0.25">
      <c r="D174" s="48">
        <f t="shared" si="9"/>
        <v>0</v>
      </c>
      <c r="G174" s="48">
        <f t="shared" si="10"/>
        <v>0</v>
      </c>
      <c r="H174" s="48"/>
      <c r="I174" s="48"/>
      <c r="J174" s="139">
        <f t="shared" si="11"/>
        <v>0</v>
      </c>
      <c r="M174" s="48">
        <f t="shared" si="12"/>
        <v>0</v>
      </c>
      <c r="AF174" s="139"/>
      <c r="AG174" s="139"/>
      <c r="AI174" s="48">
        <f t="shared" si="13"/>
        <v>0</v>
      </c>
      <c r="AK174" s="48">
        <f t="shared" si="14"/>
        <v>0</v>
      </c>
      <c r="AL174" s="48">
        <f t="shared" si="15"/>
        <v>0</v>
      </c>
      <c r="AT174"/>
    </row>
    <row r="175" spans="1:46" x14ac:dyDescent="0.25">
      <c r="G175" s="48">
        <f t="shared" si="10"/>
        <v>0</v>
      </c>
      <c r="H175" s="48"/>
      <c r="I175" s="48"/>
      <c r="J175" s="48">
        <f t="shared" si="11"/>
        <v>0</v>
      </c>
      <c r="M175" s="48">
        <f t="shared" si="12"/>
        <v>0</v>
      </c>
      <c r="AI175" s="48">
        <f t="shared" si="13"/>
        <v>0</v>
      </c>
      <c r="AK175" s="48">
        <f t="shared" si="14"/>
        <v>0</v>
      </c>
      <c r="AL175" s="48">
        <f t="shared" si="15"/>
        <v>0</v>
      </c>
      <c r="AT175"/>
    </row>
    <row r="176" spans="1:46" ht="15.75" thickBot="1" x14ac:dyDescent="0.3">
      <c r="A176" s="77" t="s">
        <v>25</v>
      </c>
      <c r="B176" s="173">
        <f>SUM(B166:B175)</f>
        <v>17098880.960000001</v>
      </c>
      <c r="C176" s="173">
        <f t="shared" ref="C176:AL176" si="16">SUM(C166:C175)</f>
        <v>-5676</v>
      </c>
      <c r="D176" s="173">
        <f t="shared" si="16"/>
        <v>17093204.960000001</v>
      </c>
      <c r="E176" s="173">
        <f t="shared" si="16"/>
        <v>631.82999999999993</v>
      </c>
      <c r="F176" s="173">
        <f t="shared" si="16"/>
        <v>11040</v>
      </c>
      <c r="G176" s="173">
        <f t="shared" si="16"/>
        <v>11671.83</v>
      </c>
      <c r="H176" s="173">
        <f t="shared" si="16"/>
        <v>17245850.730000004</v>
      </c>
      <c r="I176" s="173">
        <f t="shared" si="16"/>
        <v>0</v>
      </c>
      <c r="J176" s="173">
        <f t="shared" si="16"/>
        <v>17245850.730000004</v>
      </c>
      <c r="K176" s="173">
        <f t="shared" si="16"/>
        <v>8841755.7499999981</v>
      </c>
      <c r="L176" s="173">
        <f t="shared" si="16"/>
        <v>0</v>
      </c>
      <c r="M176" s="173">
        <f t="shared" si="16"/>
        <v>8841755.7499999981</v>
      </c>
      <c r="N176" s="173">
        <f t="shared" si="16"/>
        <v>671266.60000000009</v>
      </c>
      <c r="O176" s="173">
        <f t="shared" si="16"/>
        <v>31740.48</v>
      </c>
      <c r="P176" s="173">
        <f t="shared" si="16"/>
        <v>663341.39</v>
      </c>
      <c r="Q176" s="173">
        <f t="shared" si="16"/>
        <v>28516.59</v>
      </c>
      <c r="R176" s="173">
        <f t="shared" si="16"/>
        <v>124172.06</v>
      </c>
      <c r="S176" s="173">
        <f t="shared" si="16"/>
        <v>25879.52</v>
      </c>
      <c r="T176" s="173">
        <f t="shared" si="16"/>
        <v>55641.950000000004</v>
      </c>
      <c r="U176" s="173">
        <f t="shared" si="16"/>
        <v>90452.930000000008</v>
      </c>
      <c r="V176" s="173">
        <f t="shared" si="16"/>
        <v>2558.1200000000003</v>
      </c>
      <c r="W176" s="173">
        <f t="shared" si="16"/>
        <v>11049.93</v>
      </c>
      <c r="X176" s="173">
        <f t="shared" si="16"/>
        <v>7416.38</v>
      </c>
      <c r="Y176" s="173">
        <f t="shared" si="16"/>
        <v>298562.36000000004</v>
      </c>
      <c r="Z176" s="173">
        <f t="shared" si="16"/>
        <v>341699</v>
      </c>
      <c r="AA176" s="173">
        <f t="shared" si="16"/>
        <v>161310.82999999999</v>
      </c>
      <c r="AB176" s="173">
        <f t="shared" si="16"/>
        <v>36476</v>
      </c>
      <c r="AC176" s="173">
        <f t="shared" si="16"/>
        <v>141464.97</v>
      </c>
      <c r="AD176" s="173">
        <f t="shared" si="16"/>
        <v>1229710.58</v>
      </c>
      <c r="AE176" s="173">
        <f t="shared" si="16"/>
        <v>11353.08</v>
      </c>
      <c r="AF176" s="173">
        <f t="shared" si="16"/>
        <v>25.62</v>
      </c>
      <c r="AG176" s="173">
        <f t="shared" si="16"/>
        <v>443953.74</v>
      </c>
      <c r="AH176" s="173">
        <f t="shared" si="16"/>
        <v>1837517.07</v>
      </c>
      <c r="AI176" s="173">
        <f t="shared" si="16"/>
        <v>6214109.2000000011</v>
      </c>
      <c r="AJ176" s="173">
        <f t="shared" ref="AJ176" si="17">SUM(AJ166:AJ175)</f>
        <v>0</v>
      </c>
      <c r="AK176" s="173">
        <f t="shared" ref="AK176" si="18">SUM(AK166:AK175)</f>
        <v>6214109.2000000011</v>
      </c>
      <c r="AL176" s="173">
        <f t="shared" si="16"/>
        <v>49406592.469999999</v>
      </c>
      <c r="AT176"/>
    </row>
    <row r="177" spans="1:46" ht="15.75" thickTop="1" x14ac:dyDescent="0.25">
      <c r="A177" s="181"/>
      <c r="G177" s="48"/>
      <c r="H177" s="48"/>
      <c r="I177" s="48"/>
      <c r="AT177"/>
    </row>
    <row r="178" spans="1:46" x14ac:dyDescent="0.25">
      <c r="A178" s="181"/>
      <c r="G178" s="48"/>
      <c r="H178" s="48"/>
      <c r="I178" s="48"/>
      <c r="AT178"/>
    </row>
    <row r="179" spans="1:46" x14ac:dyDescent="0.25">
      <c r="A179" s="181"/>
      <c r="D179" s="182"/>
      <c r="E179" s="48" t="s">
        <v>493</v>
      </c>
      <c r="G179" s="48"/>
      <c r="H179" s="48"/>
      <c r="I179" s="48"/>
      <c r="N179" s="182"/>
      <c r="O179" s="48" t="s">
        <v>493</v>
      </c>
      <c r="W179" s="182"/>
      <c r="X179" s="48" t="s">
        <v>493</v>
      </c>
      <c r="AH179" s="182"/>
      <c r="AI179" s="48" t="s">
        <v>493</v>
      </c>
      <c r="AT179"/>
    </row>
    <row r="180" spans="1:46" x14ac:dyDescent="0.25">
      <c r="D180" s="183"/>
      <c r="E180" s="48" t="s">
        <v>28</v>
      </c>
      <c r="G180" s="48"/>
      <c r="H180" s="48"/>
      <c r="I180" s="48"/>
      <c r="N180" s="183"/>
      <c r="O180" s="48" t="s">
        <v>28</v>
      </c>
      <c r="W180" s="183"/>
      <c r="X180" s="48" t="s">
        <v>28</v>
      </c>
      <c r="AH180" s="183"/>
      <c r="AI180" s="48" t="s">
        <v>28</v>
      </c>
      <c r="AT180"/>
    </row>
    <row r="181" spans="1:46" x14ac:dyDescent="0.25">
      <c r="D181" s="185"/>
      <c r="E181" s="48" t="s">
        <v>29</v>
      </c>
      <c r="G181" s="48"/>
      <c r="H181" s="48"/>
      <c r="I181" s="48"/>
      <c r="N181" s="185"/>
      <c r="O181" s="48" t="s">
        <v>29</v>
      </c>
      <c r="W181" s="185"/>
      <c r="X181" s="48" t="s">
        <v>29</v>
      </c>
      <c r="AH181" s="185"/>
      <c r="AI181" s="48" t="s">
        <v>29</v>
      </c>
      <c r="AT181"/>
    </row>
    <row r="182" spans="1:46" x14ac:dyDescent="0.25">
      <c r="D182" s="184"/>
      <c r="E182" s="48" t="s">
        <v>458</v>
      </c>
      <c r="G182" s="48"/>
      <c r="H182" s="48"/>
      <c r="I182" s="48"/>
      <c r="N182" s="184"/>
      <c r="O182" s="48" t="s">
        <v>458</v>
      </c>
      <c r="W182" s="184"/>
      <c r="X182" s="48" t="s">
        <v>458</v>
      </c>
      <c r="AH182" s="184"/>
      <c r="AI182" s="48" t="s">
        <v>458</v>
      </c>
      <c r="AT182"/>
    </row>
    <row r="183" spans="1:46" x14ac:dyDescent="0.25">
      <c r="D183" s="186"/>
      <c r="E183" s="48" t="s">
        <v>162</v>
      </c>
      <c r="G183" s="48"/>
      <c r="H183" s="48"/>
      <c r="I183" s="48"/>
      <c r="N183" s="186"/>
      <c r="O183" s="48" t="s">
        <v>162</v>
      </c>
      <c r="W183" s="186"/>
      <c r="X183" s="48" t="s">
        <v>162</v>
      </c>
      <c r="AH183" s="186"/>
      <c r="AI183" s="48" t="s">
        <v>162</v>
      </c>
      <c r="AT183"/>
    </row>
    <row r="184" spans="1:46" x14ac:dyDescent="0.25">
      <c r="D184" s="187"/>
      <c r="E184" s="48" t="s">
        <v>63</v>
      </c>
      <c r="G184" s="48"/>
      <c r="H184" s="48"/>
      <c r="I184" s="48"/>
      <c r="N184" s="187"/>
      <c r="O184" s="48" t="s">
        <v>63</v>
      </c>
      <c r="W184" s="187"/>
      <c r="X184" s="48" t="s">
        <v>63</v>
      </c>
      <c r="AH184" s="187"/>
      <c r="AI184" s="48" t="s">
        <v>63</v>
      </c>
      <c r="AT184"/>
    </row>
    <row r="185" spans="1:46" x14ac:dyDescent="0.25">
      <c r="D185" s="188"/>
      <c r="E185" s="48" t="s">
        <v>459</v>
      </c>
      <c r="G185" s="48"/>
      <c r="H185" s="48"/>
      <c r="I185" s="48"/>
      <c r="N185" s="188"/>
      <c r="O185" s="48" t="s">
        <v>459</v>
      </c>
      <c r="W185" s="188"/>
      <c r="X185" s="48" t="s">
        <v>459</v>
      </c>
      <c r="AH185" s="188"/>
      <c r="AI185" s="48" t="s">
        <v>459</v>
      </c>
      <c r="AT185"/>
    </row>
    <row r="186" spans="1:46" x14ac:dyDescent="0.25">
      <c r="G186" s="48"/>
      <c r="H186" s="48"/>
      <c r="I186" s="48"/>
      <c r="AT186"/>
    </row>
    <row r="187" spans="1:46" x14ac:dyDescent="0.25">
      <c r="A187" s="48"/>
      <c r="B187"/>
      <c r="G187" s="48"/>
      <c r="H187" s="48"/>
      <c r="I187" s="48"/>
      <c r="AT187"/>
    </row>
    <row r="188" spans="1:46" x14ac:dyDescent="0.25">
      <c r="A188" s="48"/>
      <c r="B188"/>
      <c r="G188" s="48"/>
      <c r="H188" s="48"/>
      <c r="I188" s="48"/>
      <c r="AT188"/>
    </row>
    <row r="189" spans="1:46" x14ac:dyDescent="0.25">
      <c r="A189" s="48"/>
      <c r="B189"/>
      <c r="G189" s="48"/>
      <c r="H189" s="48"/>
      <c r="I189" s="48"/>
      <c r="AT189"/>
    </row>
    <row r="190" spans="1:46" x14ac:dyDescent="0.25">
      <c r="A190" s="48"/>
      <c r="F190"/>
      <c r="I190" s="48"/>
      <c r="AT190"/>
    </row>
    <row r="191" spans="1:46" x14ac:dyDescent="0.25">
      <c r="A191" s="48"/>
      <c r="F191"/>
      <c r="I191" s="48"/>
      <c r="AT191"/>
    </row>
    <row r="192" spans="1:46" x14ac:dyDescent="0.25">
      <c r="A192" s="48"/>
      <c r="F192"/>
      <c r="I192" s="48"/>
      <c r="AT192"/>
    </row>
    <row r="193" spans="1:46" x14ac:dyDescent="0.25">
      <c r="A193" s="48"/>
      <c r="F193"/>
      <c r="I193" s="48"/>
      <c r="AT193"/>
    </row>
    <row r="194" spans="1:46" x14ac:dyDescent="0.25">
      <c r="A194" s="48"/>
      <c r="F194"/>
      <c r="I194" s="48"/>
      <c r="AT194"/>
    </row>
    <row r="195" spans="1:46" x14ac:dyDescent="0.25">
      <c r="A195" s="48"/>
      <c r="F195"/>
      <c r="I195" s="48"/>
      <c r="AT195"/>
    </row>
    <row r="196" spans="1:46" x14ac:dyDescent="0.25">
      <c r="A196" s="48"/>
      <c r="F196"/>
      <c r="I196" s="48"/>
      <c r="AT196"/>
    </row>
    <row r="197" spans="1:46" x14ac:dyDescent="0.25">
      <c r="A197" s="48"/>
      <c r="F197"/>
      <c r="I197" s="48"/>
      <c r="AT197"/>
    </row>
  </sheetData>
  <customSheetViews>
    <customSheetView guid="{E68B3865-8D72-47E7-BE32-0FF7EB09E889}" topLeftCell="F1">
      <selection activeCell="I14" sqref="I14:I18"/>
      <pageMargins left="0.7" right="0.7" top="0.75" bottom="0.75" header="0.3" footer="0.3"/>
      <pageSetup orientation="portrait" r:id="rId1"/>
    </customSheetView>
  </customSheetViews>
  <pageMargins left="0.25" right="0.25" top="0.75" bottom="0.75" header="0.3" footer="0.3"/>
  <pageSetup scale="45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9"/>
  <sheetViews>
    <sheetView workbookViewId="0">
      <pane xSplit="1" ySplit="5" topLeftCell="B51" activePane="bottomRight" state="frozen"/>
      <selection pane="topRight" activeCell="B1" sqref="B1"/>
      <selection pane="bottomLeft" activeCell="A6" sqref="A6"/>
      <selection pane="bottomRight" activeCell="B58" sqref="B58"/>
    </sheetView>
  </sheetViews>
  <sheetFormatPr defaultRowHeight="15" x14ac:dyDescent="0.25"/>
  <cols>
    <col min="1" max="1" width="43" customWidth="1"/>
    <col min="2" max="2" width="14.5703125" bestFit="1" customWidth="1"/>
    <col min="3" max="3" width="13.5703125" style="6" bestFit="1" customWidth="1"/>
    <col min="4" max="4" width="14.5703125" bestFit="1" customWidth="1"/>
    <col min="5" max="5" width="14.5703125" style="6" bestFit="1" customWidth="1"/>
    <col min="6" max="9" width="14.5703125" style="6" customWidth="1"/>
    <col min="10" max="10" width="11.140625" bestFit="1" customWidth="1"/>
    <col min="11" max="11" width="14.5703125" style="17" customWidth="1"/>
    <col min="12" max="12" width="14.5703125" style="6" customWidth="1"/>
    <col min="13" max="13" width="14.5703125" style="34" bestFit="1" customWidth="1"/>
    <col min="14" max="14" width="24.28515625" style="96" customWidth="1"/>
    <col min="15" max="15" width="13.85546875" bestFit="1" customWidth="1"/>
  </cols>
  <sheetData>
    <row r="1" spans="1:15" ht="23.25" x14ac:dyDescent="0.35">
      <c r="A1" s="5" t="s">
        <v>204</v>
      </c>
      <c r="B1" s="6"/>
      <c r="D1" s="6"/>
      <c r="M1" s="17"/>
    </row>
    <row r="2" spans="1:15" x14ac:dyDescent="0.25">
      <c r="A2" t="s">
        <v>1</v>
      </c>
      <c r="B2" s="6"/>
      <c r="D2" s="6"/>
      <c r="M2" s="17"/>
    </row>
    <row r="3" spans="1:15" x14ac:dyDescent="0.25">
      <c r="A3" s="1">
        <v>43435</v>
      </c>
      <c r="B3" s="6"/>
      <c r="D3" s="6"/>
      <c r="M3" s="17"/>
    </row>
    <row r="4" spans="1:15" x14ac:dyDescent="0.25">
      <c r="A4" s="1"/>
      <c r="B4" s="6"/>
      <c r="D4" s="6"/>
      <c r="M4" s="17"/>
    </row>
    <row r="5" spans="1:15" ht="45" x14ac:dyDescent="0.25">
      <c r="A5" s="1"/>
      <c r="B5" s="7" t="s">
        <v>205</v>
      </c>
      <c r="C5" s="7" t="s">
        <v>47</v>
      </c>
      <c r="D5" s="7" t="s">
        <v>207</v>
      </c>
      <c r="E5" s="7" t="s">
        <v>206</v>
      </c>
      <c r="F5" s="7" t="s">
        <v>209</v>
      </c>
      <c r="G5" s="7" t="s">
        <v>210</v>
      </c>
      <c r="H5" s="7" t="s">
        <v>211</v>
      </c>
      <c r="I5" s="7" t="s">
        <v>212</v>
      </c>
      <c r="J5" s="7" t="s">
        <v>80</v>
      </c>
      <c r="K5" s="18" t="s">
        <v>297</v>
      </c>
      <c r="L5" s="7"/>
      <c r="M5" s="18" t="s">
        <v>208</v>
      </c>
      <c r="N5" s="119"/>
    </row>
    <row r="6" spans="1:15" x14ac:dyDescent="0.25">
      <c r="B6" s="6"/>
      <c r="D6" s="6"/>
      <c r="J6" s="6"/>
      <c r="M6" s="17"/>
    </row>
    <row r="7" spans="1:15" x14ac:dyDescent="0.25">
      <c r="A7" s="3" t="s">
        <v>2</v>
      </c>
      <c r="B7" s="6"/>
      <c r="D7" s="6"/>
      <c r="J7" s="6"/>
      <c r="M7" s="17"/>
    </row>
    <row r="8" spans="1:15" x14ac:dyDescent="0.25">
      <c r="A8" s="6" t="s">
        <v>3</v>
      </c>
      <c r="B8" s="21">
        <v>5374033.7300000004</v>
      </c>
      <c r="C8" s="21">
        <f>49553+1839-17619</f>
        <v>33773</v>
      </c>
      <c r="D8" s="6">
        <f t="shared" ref="D8:D15" si="0">B8+C8</f>
        <v>5407806.7300000004</v>
      </c>
      <c r="E8" s="21">
        <v>1755505.56</v>
      </c>
      <c r="F8" s="21">
        <v>29075.279999999999</v>
      </c>
      <c r="G8" s="80">
        <v>29091.89</v>
      </c>
      <c r="H8" s="21">
        <v>42660.87</v>
      </c>
      <c r="I8" s="21">
        <v>4327.88</v>
      </c>
      <c r="J8" s="20">
        <v>328097.14</v>
      </c>
      <c r="K8" s="20"/>
      <c r="L8" s="43"/>
      <c r="M8" s="17">
        <f>D8+E8+F8+G8+H8+I8+J8+K8+L8</f>
        <v>7596565.3500000006</v>
      </c>
      <c r="N8" s="118"/>
    </row>
    <row r="9" spans="1:15" x14ac:dyDescent="0.25">
      <c r="A9" s="4" t="s">
        <v>4</v>
      </c>
      <c r="B9" s="21">
        <v>617730.12</v>
      </c>
      <c r="C9" s="21"/>
      <c r="D9" s="6">
        <f t="shared" si="0"/>
        <v>617730.12</v>
      </c>
      <c r="E9" s="21">
        <v>0</v>
      </c>
      <c r="F9" s="21"/>
      <c r="G9" s="21"/>
      <c r="H9" s="21"/>
      <c r="I9" s="21"/>
      <c r="J9" s="20"/>
      <c r="K9" s="20">
        <v>3510.42</v>
      </c>
      <c r="L9" s="43"/>
      <c r="M9" s="17">
        <f>D9+E9+F9+G9+H9+I9+J9+K9+L9</f>
        <v>621240.54</v>
      </c>
      <c r="N9" s="118"/>
    </row>
    <row r="10" spans="1:15" x14ac:dyDescent="0.25">
      <c r="A10" s="4" t="s">
        <v>233</v>
      </c>
      <c r="B10" s="21">
        <v>1638372.36</v>
      </c>
      <c r="C10" s="21"/>
      <c r="D10" s="6">
        <f t="shared" si="0"/>
        <v>1638372.36</v>
      </c>
      <c r="E10" s="21"/>
      <c r="F10" s="21">
        <v>-29075.279999999999</v>
      </c>
      <c r="G10" s="21">
        <v>-29091.89</v>
      </c>
      <c r="H10" s="21">
        <v>-42660.87</v>
      </c>
      <c r="I10" s="21">
        <v>-4327.88</v>
      </c>
      <c r="J10" s="20"/>
      <c r="K10" s="20"/>
      <c r="L10" s="43"/>
      <c r="M10" s="17">
        <f>D10+E10+F10+G10+H10+I10+J10+K10+L10</f>
        <v>1533216.4400000002</v>
      </c>
      <c r="N10" s="118"/>
    </row>
    <row r="11" spans="1:15" x14ac:dyDescent="0.25">
      <c r="A11" s="4" t="s">
        <v>410</v>
      </c>
      <c r="B11" s="21"/>
      <c r="C11" s="21">
        <v>17619</v>
      </c>
      <c r="D11" s="6">
        <f t="shared" si="0"/>
        <v>17619</v>
      </c>
      <c r="E11" s="21"/>
      <c r="F11" s="21"/>
      <c r="G11" s="21"/>
      <c r="H11" s="21"/>
      <c r="I11" s="21"/>
      <c r="J11" s="20"/>
      <c r="K11" s="20"/>
      <c r="L11" s="43"/>
      <c r="M11" s="17">
        <f>D11+E11+F11+G11+H11+I11+J11+K11+L11</f>
        <v>17619</v>
      </c>
      <c r="N11" s="118"/>
    </row>
    <row r="12" spans="1:15" x14ac:dyDescent="0.25">
      <c r="A12" s="4" t="s">
        <v>6</v>
      </c>
      <c r="B12" s="21">
        <v>619924.85</v>
      </c>
      <c r="C12" s="21">
        <v>-7042</v>
      </c>
      <c r="D12" s="6">
        <f t="shared" si="0"/>
        <v>612882.85</v>
      </c>
      <c r="E12" s="21"/>
      <c r="F12" s="21"/>
      <c r="G12" s="21"/>
      <c r="H12" s="21"/>
      <c r="I12" s="21"/>
      <c r="J12" s="20"/>
      <c r="K12" s="20"/>
      <c r="L12" s="43"/>
      <c r="M12" s="17">
        <f>D12+E12+F12+G12+H12+I12+J12+K13+L12</f>
        <v>612882.85</v>
      </c>
      <c r="N12" s="118"/>
    </row>
    <row r="13" spans="1:15" x14ac:dyDescent="0.25">
      <c r="A13" s="4" t="s">
        <v>5</v>
      </c>
      <c r="B13" s="21">
        <v>67643.23</v>
      </c>
      <c r="C13" s="21"/>
      <c r="D13" s="6">
        <f t="shared" si="0"/>
        <v>67643.23</v>
      </c>
      <c r="E13" s="21"/>
      <c r="F13" s="21"/>
      <c r="G13" s="21"/>
      <c r="H13" s="21"/>
      <c r="I13" s="21"/>
      <c r="J13" s="20"/>
      <c r="K13" s="20"/>
      <c r="L13" s="43"/>
      <c r="M13" s="17">
        <f>D13+E13+F13+G13+H13+I13+J13+K14+L13</f>
        <v>67643.23</v>
      </c>
      <c r="N13" s="118"/>
    </row>
    <row r="14" spans="1:15" x14ac:dyDescent="0.25">
      <c r="A14" s="4" t="s">
        <v>61</v>
      </c>
      <c r="B14" s="21"/>
      <c r="C14" s="21"/>
      <c r="D14" s="6">
        <f t="shared" si="0"/>
        <v>0</v>
      </c>
      <c r="E14" s="21"/>
      <c r="F14" s="21"/>
      <c r="G14" s="21"/>
      <c r="H14" s="21"/>
      <c r="I14" s="21"/>
      <c r="J14" s="20"/>
      <c r="K14" s="20"/>
      <c r="L14" s="43"/>
      <c r="M14" s="17">
        <f>D14+E14+F14+G14+H14+I14+J14+K14+L14</f>
        <v>0</v>
      </c>
      <c r="N14" s="118"/>
    </row>
    <row r="15" spans="1:15" x14ac:dyDescent="0.25">
      <c r="A15" s="2" t="s">
        <v>7</v>
      </c>
      <c r="B15" s="6">
        <f>SUM(B8:B14)</f>
        <v>8317704.290000001</v>
      </c>
      <c r="C15" s="6">
        <f>SUM(C8:C14)</f>
        <v>44350</v>
      </c>
      <c r="D15" s="6">
        <f t="shared" si="0"/>
        <v>8362054.290000001</v>
      </c>
      <c r="E15" s="6">
        <f t="shared" ref="E15:J15" si="1">SUM(E8:E14)</f>
        <v>1755505.56</v>
      </c>
      <c r="F15" s="6">
        <f t="shared" si="1"/>
        <v>0</v>
      </c>
      <c r="G15" s="6">
        <f t="shared" si="1"/>
        <v>0</v>
      </c>
      <c r="H15" s="6">
        <f t="shared" si="1"/>
        <v>0</v>
      </c>
      <c r="I15" s="6">
        <f t="shared" si="1"/>
        <v>0</v>
      </c>
      <c r="J15" s="6">
        <f t="shared" si="1"/>
        <v>328097.14</v>
      </c>
      <c r="K15" s="17">
        <f>SUM(K8:K14)</f>
        <v>3510.42</v>
      </c>
      <c r="M15" s="17">
        <f>D15+E15+F15+G15+H15+I15+J15+K15+L15</f>
        <v>10449167.410000002</v>
      </c>
      <c r="N15" s="121">
        <f>SUM(M8:M14)</f>
        <v>10449167.41</v>
      </c>
      <c r="O15" s="6"/>
    </row>
    <row r="16" spans="1:15" x14ac:dyDescent="0.25">
      <c r="B16" s="6"/>
      <c r="D16" s="6"/>
      <c r="J16" s="6"/>
      <c r="M16" s="17"/>
      <c r="N16" s="118"/>
    </row>
    <row r="17" spans="1:14" x14ac:dyDescent="0.25">
      <c r="A17" s="3" t="s">
        <v>8</v>
      </c>
      <c r="B17" s="6"/>
      <c r="D17" s="6"/>
      <c r="J17" s="6"/>
      <c r="M17" s="17"/>
      <c r="N17" s="118"/>
    </row>
    <row r="18" spans="1:14" x14ac:dyDescent="0.25">
      <c r="A18" s="4" t="s">
        <v>9</v>
      </c>
      <c r="B18" s="21">
        <v>412178.34</v>
      </c>
      <c r="C18" s="21"/>
      <c r="D18" s="6">
        <f t="shared" ref="D18:D23" si="2">B18+C18</f>
        <v>412178.34</v>
      </c>
      <c r="E18" s="21"/>
      <c r="F18" s="21"/>
      <c r="G18" s="21"/>
      <c r="H18" s="21"/>
      <c r="I18" s="21"/>
      <c r="J18" s="20">
        <v>328097.14</v>
      </c>
      <c r="K18" s="20"/>
      <c r="L18" s="43"/>
      <c r="M18" s="17">
        <f t="shared" ref="M18:M23" si="3">D18+E18+F18+G18+H18+I18+J18+K18+L18</f>
        <v>740275.48</v>
      </c>
      <c r="N18" s="118"/>
    </row>
    <row r="19" spans="1:14" x14ac:dyDescent="0.25">
      <c r="A19" s="4" t="s">
        <v>10</v>
      </c>
      <c r="B19" s="21">
        <v>338235.15</v>
      </c>
      <c r="C19" s="21"/>
      <c r="D19" s="6">
        <f t="shared" si="2"/>
        <v>338235.15</v>
      </c>
      <c r="E19" s="21"/>
      <c r="F19" s="21"/>
      <c r="G19" s="21"/>
      <c r="H19" s="21"/>
      <c r="I19" s="21"/>
      <c r="J19" s="20"/>
      <c r="K19" s="20"/>
      <c r="L19" s="43"/>
      <c r="M19" s="17">
        <f t="shared" si="3"/>
        <v>338235.15</v>
      </c>
      <c r="N19" s="118"/>
    </row>
    <row r="20" spans="1:14" x14ac:dyDescent="0.25">
      <c r="A20" s="4" t="s">
        <v>190</v>
      </c>
      <c r="B20" s="21">
        <v>106403.43</v>
      </c>
      <c r="C20" s="21"/>
      <c r="D20" s="6">
        <f t="shared" si="2"/>
        <v>106403.43</v>
      </c>
      <c r="E20" s="21"/>
      <c r="F20" s="21"/>
      <c r="G20" s="21"/>
      <c r="H20" s="21"/>
      <c r="I20" s="21"/>
      <c r="J20" s="20"/>
      <c r="K20" s="20"/>
      <c r="L20" s="43"/>
      <c r="M20" s="17">
        <f t="shared" si="3"/>
        <v>106403.43</v>
      </c>
      <c r="N20" s="118"/>
    </row>
    <row r="21" spans="1:14" x14ac:dyDescent="0.25">
      <c r="A21" s="4" t="s">
        <v>11</v>
      </c>
      <c r="B21" s="21">
        <v>62624.480000000003</v>
      </c>
      <c r="C21" s="21"/>
      <c r="D21" s="6">
        <f t="shared" si="2"/>
        <v>62624.480000000003</v>
      </c>
      <c r="E21" s="21"/>
      <c r="F21" s="21"/>
      <c r="G21" s="21"/>
      <c r="H21" s="21"/>
      <c r="I21" s="21"/>
      <c r="J21" s="20"/>
      <c r="K21" s="20"/>
      <c r="L21" s="43"/>
      <c r="M21" s="17">
        <f t="shared" si="3"/>
        <v>62624.480000000003</v>
      </c>
      <c r="N21" s="118"/>
    </row>
    <row r="22" spans="1:14" x14ac:dyDescent="0.25">
      <c r="A22" s="4" t="s">
        <v>396</v>
      </c>
      <c r="B22" s="21">
        <v>1672303.13</v>
      </c>
      <c r="C22" s="21">
        <f>-7042</f>
        <v>-7042</v>
      </c>
      <c r="D22" s="74">
        <f>B22+C22</f>
        <v>1665261.13</v>
      </c>
      <c r="E22" s="21"/>
      <c r="F22" s="21"/>
      <c r="G22" s="21"/>
      <c r="H22" s="21"/>
      <c r="I22" s="21"/>
      <c r="J22" s="20"/>
      <c r="K22" s="20"/>
      <c r="L22" s="43"/>
      <c r="M22" s="17">
        <f t="shared" si="3"/>
        <v>1665261.13</v>
      </c>
      <c r="N22" s="118"/>
    </row>
    <row r="23" spans="1:14" x14ac:dyDescent="0.25">
      <c r="A23" s="2" t="s">
        <v>13</v>
      </c>
      <c r="B23" s="6">
        <f>SUM(B18:B22)</f>
        <v>2591744.5299999998</v>
      </c>
      <c r="C23" s="6">
        <f>SUM(C18:C22)</f>
        <v>-7042</v>
      </c>
      <c r="D23" s="6">
        <f t="shared" si="2"/>
        <v>2584702.5299999998</v>
      </c>
      <c r="E23" s="6">
        <f t="shared" ref="E23:J23" si="4">SUM(E18:E22)</f>
        <v>0</v>
      </c>
      <c r="F23" s="6">
        <f t="shared" si="4"/>
        <v>0</v>
      </c>
      <c r="G23" s="6">
        <f t="shared" si="4"/>
        <v>0</v>
      </c>
      <c r="H23" s="6">
        <f t="shared" si="4"/>
        <v>0</v>
      </c>
      <c r="I23" s="6">
        <f t="shared" si="4"/>
        <v>0</v>
      </c>
      <c r="J23" s="6">
        <f t="shared" si="4"/>
        <v>328097.14</v>
      </c>
      <c r="K23" s="17">
        <f>SUM(K18:K22)</f>
        <v>0</v>
      </c>
      <c r="M23" s="17">
        <f t="shared" si="3"/>
        <v>2912799.67</v>
      </c>
      <c r="N23" s="118">
        <f>SUM(M18:M22)</f>
        <v>2912799.67</v>
      </c>
    </row>
    <row r="24" spans="1:14" x14ac:dyDescent="0.25">
      <c r="A24" s="2"/>
      <c r="B24" s="6"/>
      <c r="D24" s="6"/>
      <c r="J24" s="6"/>
      <c r="M24" s="17"/>
      <c r="N24" s="118"/>
    </row>
    <row r="25" spans="1:14" x14ac:dyDescent="0.25">
      <c r="A25" s="3" t="s">
        <v>348</v>
      </c>
      <c r="B25" s="6"/>
      <c r="D25" s="6"/>
      <c r="J25" s="6"/>
      <c r="M25" s="17"/>
      <c r="N25" s="118"/>
    </row>
    <row r="26" spans="1:14" x14ac:dyDescent="0.25">
      <c r="A26" s="2" t="s">
        <v>349</v>
      </c>
      <c r="B26" s="21"/>
      <c r="C26" s="21"/>
      <c r="D26" s="6">
        <f>B26+C26</f>
        <v>0</v>
      </c>
      <c r="E26" s="21"/>
      <c r="F26" s="21"/>
      <c r="G26" s="21"/>
      <c r="H26" s="21"/>
      <c r="I26" s="21"/>
      <c r="J26" s="21"/>
      <c r="K26" s="21"/>
      <c r="M26" s="17">
        <f>D26+E26+F26+G26+H26+I26+J26+K26+L26</f>
        <v>0</v>
      </c>
      <c r="N26" s="118"/>
    </row>
    <row r="27" spans="1:14" x14ac:dyDescent="0.25">
      <c r="A27" s="2" t="s">
        <v>350</v>
      </c>
      <c r="B27" s="21"/>
      <c r="C27" s="21"/>
      <c r="D27" s="6">
        <f t="shared" ref="D27" si="5">B27+C27</f>
        <v>0</v>
      </c>
      <c r="E27" s="21"/>
      <c r="F27" s="21"/>
      <c r="G27" s="21"/>
      <c r="H27" s="21"/>
      <c r="I27" s="21"/>
      <c r="J27" s="21"/>
      <c r="K27" s="21"/>
      <c r="M27" s="17">
        <f t="shared" ref="M27:M28" si="6">D27+E27+F27+G27+H27+I27+J27+K27+L27</f>
        <v>0</v>
      </c>
      <c r="N27" s="118"/>
    </row>
    <row r="28" spans="1:14" x14ac:dyDescent="0.25">
      <c r="A28" s="2" t="s">
        <v>351</v>
      </c>
      <c r="B28" s="6">
        <f>SUM(B26:B27)</f>
        <v>0</v>
      </c>
      <c r="C28" s="6">
        <f>SUM(C26:C27)</f>
        <v>0</v>
      </c>
      <c r="D28" s="6">
        <f t="shared" ref="D28:K28" si="7">SUM(D26:D27)</f>
        <v>0</v>
      </c>
      <c r="E28" s="6">
        <f t="shared" si="7"/>
        <v>0</v>
      </c>
      <c r="F28" s="6">
        <f t="shared" si="7"/>
        <v>0</v>
      </c>
      <c r="G28" s="6">
        <f t="shared" si="7"/>
        <v>0</v>
      </c>
      <c r="H28" s="6">
        <f t="shared" si="7"/>
        <v>0</v>
      </c>
      <c r="I28" s="6">
        <f t="shared" si="7"/>
        <v>0</v>
      </c>
      <c r="J28" s="6">
        <f t="shared" si="7"/>
        <v>0</v>
      </c>
      <c r="K28" s="6">
        <f t="shared" si="7"/>
        <v>0</v>
      </c>
      <c r="M28" s="17">
        <f t="shared" si="6"/>
        <v>0</v>
      </c>
      <c r="N28" s="118"/>
    </row>
    <row r="29" spans="1:14" x14ac:dyDescent="0.25">
      <c r="B29" s="6"/>
      <c r="D29" s="6"/>
      <c r="J29" s="6"/>
      <c r="M29" s="17"/>
      <c r="N29" s="118"/>
    </row>
    <row r="30" spans="1:14" x14ac:dyDescent="0.25">
      <c r="A30" s="3" t="s">
        <v>14</v>
      </c>
      <c r="B30" s="6"/>
      <c r="D30" s="6"/>
      <c r="J30" s="6"/>
      <c r="M30" s="17"/>
      <c r="N30" s="118"/>
    </row>
    <row r="31" spans="1:14" x14ac:dyDescent="0.25">
      <c r="A31" s="2" t="s">
        <v>332</v>
      </c>
      <c r="B31" s="6"/>
      <c r="D31" s="6"/>
      <c r="J31" s="6"/>
      <c r="M31" s="17"/>
      <c r="N31" s="118"/>
    </row>
    <row r="32" spans="1:14" x14ac:dyDescent="0.25">
      <c r="A32" s="4" t="s">
        <v>15</v>
      </c>
      <c r="B32" s="21"/>
      <c r="C32" s="21"/>
      <c r="D32" s="6">
        <f>B32+C32</f>
        <v>0</v>
      </c>
      <c r="E32" s="21"/>
      <c r="F32" s="21"/>
      <c r="G32" s="21"/>
      <c r="H32" s="21"/>
      <c r="I32" s="21"/>
      <c r="J32" s="20"/>
      <c r="K32" s="20"/>
      <c r="L32" s="43"/>
      <c r="M32" s="17">
        <f>D32+E32+F32+G32+H32+I32+J32+K32+L32</f>
        <v>0</v>
      </c>
      <c r="N32" s="118"/>
    </row>
    <row r="33" spans="1:14" x14ac:dyDescent="0.25">
      <c r="A33" s="4" t="s">
        <v>333</v>
      </c>
      <c r="B33" s="21"/>
      <c r="C33" s="21"/>
      <c r="D33" s="6">
        <f t="shared" ref="D33:D49" si="8">B33+C33</f>
        <v>0</v>
      </c>
      <c r="E33" s="21">
        <v>1755505.56</v>
      </c>
      <c r="F33" s="21"/>
      <c r="G33" s="21"/>
      <c r="H33" s="21"/>
      <c r="I33" s="21"/>
      <c r="J33" s="20"/>
      <c r="K33" s="20"/>
      <c r="L33" s="43"/>
      <c r="M33" s="17">
        <f>D33+E33+F33+G33+H33+I33+J33+K33+L33</f>
        <v>1755505.56</v>
      </c>
      <c r="N33" s="118"/>
    </row>
    <row r="34" spans="1:14" x14ac:dyDescent="0.25">
      <c r="A34" s="4" t="s">
        <v>149</v>
      </c>
      <c r="B34" s="21"/>
      <c r="C34" s="21"/>
      <c r="D34" s="6">
        <f t="shared" si="8"/>
        <v>0</v>
      </c>
      <c r="E34" s="21"/>
      <c r="F34" s="21"/>
      <c r="G34" s="21"/>
      <c r="H34" s="21"/>
      <c r="I34" s="21"/>
      <c r="J34" s="20"/>
      <c r="K34" s="20"/>
      <c r="L34" s="43"/>
      <c r="M34" s="17">
        <f t="shared" ref="M34:M49" si="9">D34+E34+F34+G34+H34+I34+J34+K34+L34</f>
        <v>0</v>
      </c>
      <c r="N34" s="118"/>
    </row>
    <row r="35" spans="1:14" x14ac:dyDescent="0.25">
      <c r="A35" s="4" t="s">
        <v>162</v>
      </c>
      <c r="B35" s="21"/>
      <c r="C35" s="21"/>
      <c r="D35" s="6">
        <f t="shared" si="8"/>
        <v>0</v>
      </c>
      <c r="E35" s="21"/>
      <c r="F35" s="21"/>
      <c r="G35" s="21"/>
      <c r="H35" s="21"/>
      <c r="I35" s="21"/>
      <c r="J35" s="20"/>
      <c r="K35" s="20"/>
      <c r="L35" s="43"/>
      <c r="M35" s="17">
        <f t="shared" si="9"/>
        <v>0</v>
      </c>
      <c r="N35" s="118"/>
    </row>
    <row r="36" spans="1:14" x14ac:dyDescent="0.25">
      <c r="A36" s="4" t="s">
        <v>334</v>
      </c>
      <c r="B36" s="21"/>
      <c r="C36" s="21"/>
      <c r="D36" s="6">
        <f t="shared" si="8"/>
        <v>0</v>
      </c>
      <c r="E36" s="21"/>
      <c r="F36" s="21"/>
      <c r="G36" s="21"/>
      <c r="H36" s="21"/>
      <c r="I36" s="21"/>
      <c r="J36" s="20"/>
      <c r="K36" s="20"/>
      <c r="L36" s="43"/>
      <c r="M36" s="17">
        <f t="shared" si="9"/>
        <v>0</v>
      </c>
      <c r="N36" s="118"/>
    </row>
    <row r="37" spans="1:14" x14ac:dyDescent="0.25">
      <c r="A37" s="4" t="s">
        <v>335</v>
      </c>
      <c r="B37" s="21"/>
      <c r="C37" s="21"/>
      <c r="D37" s="6">
        <f t="shared" si="8"/>
        <v>0</v>
      </c>
      <c r="E37" s="21"/>
      <c r="F37" s="21"/>
      <c r="G37" s="21"/>
      <c r="H37" s="21"/>
      <c r="I37" s="21"/>
      <c r="J37" s="20"/>
      <c r="K37" s="20"/>
      <c r="L37" s="43"/>
      <c r="M37" s="17">
        <f t="shared" si="9"/>
        <v>0</v>
      </c>
      <c r="N37" s="118"/>
    </row>
    <row r="38" spans="1:14" x14ac:dyDescent="0.25">
      <c r="A38" s="4" t="s">
        <v>336</v>
      </c>
      <c r="B38" s="21"/>
      <c r="C38" s="21"/>
      <c r="D38" s="6">
        <f t="shared" si="8"/>
        <v>0</v>
      </c>
      <c r="E38" s="21"/>
      <c r="F38" s="21"/>
      <c r="G38" s="21"/>
      <c r="H38" s="21"/>
      <c r="I38" s="21"/>
      <c r="J38" s="20"/>
      <c r="K38" s="20"/>
      <c r="L38" s="43"/>
      <c r="M38" s="17">
        <f t="shared" si="9"/>
        <v>0</v>
      </c>
      <c r="N38" s="118"/>
    </row>
    <row r="39" spans="1:14" x14ac:dyDescent="0.25">
      <c r="A39" s="4" t="s">
        <v>337</v>
      </c>
      <c r="B39" s="21"/>
      <c r="C39" s="21"/>
      <c r="D39" s="6">
        <f t="shared" si="8"/>
        <v>0</v>
      </c>
      <c r="E39" s="21"/>
      <c r="F39" s="21"/>
      <c r="G39" s="21"/>
      <c r="H39" s="21"/>
      <c r="I39" s="21"/>
      <c r="J39" s="20"/>
      <c r="K39" s="20"/>
      <c r="L39" s="43"/>
      <c r="M39" s="17">
        <f t="shared" si="9"/>
        <v>0</v>
      </c>
      <c r="N39" s="118"/>
    </row>
    <row r="40" spans="1:14" x14ac:dyDescent="0.25">
      <c r="A40" s="4" t="s">
        <v>338</v>
      </c>
      <c r="B40" s="21"/>
      <c r="C40" s="21"/>
      <c r="D40" s="6">
        <f t="shared" si="8"/>
        <v>0</v>
      </c>
      <c r="E40" s="21"/>
      <c r="F40" s="21"/>
      <c r="G40" s="21"/>
      <c r="H40" s="21"/>
      <c r="I40" s="21"/>
      <c r="J40" s="20"/>
      <c r="K40" s="20"/>
      <c r="L40" s="43"/>
      <c r="M40" s="17">
        <f t="shared" si="9"/>
        <v>0</v>
      </c>
      <c r="N40" s="118"/>
    </row>
    <row r="41" spans="1:14" x14ac:dyDescent="0.25">
      <c r="A41" s="4" t="s">
        <v>339</v>
      </c>
      <c r="B41" s="21"/>
      <c r="C41" s="21"/>
      <c r="D41" s="6">
        <f t="shared" si="8"/>
        <v>0</v>
      </c>
      <c r="E41" s="21"/>
      <c r="F41" s="21"/>
      <c r="G41" s="21"/>
      <c r="H41" s="21"/>
      <c r="I41" s="21"/>
      <c r="J41" s="20"/>
      <c r="K41" s="20"/>
      <c r="L41" s="43"/>
      <c r="M41" s="17">
        <f t="shared" si="9"/>
        <v>0</v>
      </c>
      <c r="N41" s="118"/>
    </row>
    <row r="42" spans="1:14" x14ac:dyDescent="0.25">
      <c r="A42" s="4" t="s">
        <v>340</v>
      </c>
      <c r="B42" s="21"/>
      <c r="C42" s="21"/>
      <c r="D42" s="6">
        <f t="shared" si="8"/>
        <v>0</v>
      </c>
      <c r="E42" s="21"/>
      <c r="F42" s="21"/>
      <c r="G42" s="21"/>
      <c r="H42" s="21"/>
      <c r="I42" s="21"/>
      <c r="J42" s="20"/>
      <c r="K42" s="20"/>
      <c r="L42" s="43"/>
      <c r="M42" s="17">
        <f t="shared" si="9"/>
        <v>0</v>
      </c>
      <c r="N42" s="118"/>
    </row>
    <row r="43" spans="1:14" x14ac:dyDescent="0.25">
      <c r="A43" s="4" t="s">
        <v>151</v>
      </c>
      <c r="B43" s="21"/>
      <c r="C43" s="21"/>
      <c r="D43" s="6">
        <f t="shared" si="8"/>
        <v>0</v>
      </c>
      <c r="E43" s="21"/>
      <c r="F43" s="21"/>
      <c r="G43" s="21"/>
      <c r="H43" s="21"/>
      <c r="I43" s="21"/>
      <c r="J43" s="20"/>
      <c r="K43" s="20"/>
      <c r="L43" s="43"/>
      <c r="M43" s="17">
        <f t="shared" si="9"/>
        <v>0</v>
      </c>
      <c r="N43" s="118"/>
    </row>
    <row r="44" spans="1:14" x14ac:dyDescent="0.25">
      <c r="A44" s="4" t="s">
        <v>341</v>
      </c>
      <c r="B44" s="21"/>
      <c r="C44" s="21"/>
      <c r="D44" s="6">
        <f t="shared" si="8"/>
        <v>0</v>
      </c>
      <c r="E44" s="21"/>
      <c r="F44" s="21"/>
      <c r="G44" s="21"/>
      <c r="H44" s="21"/>
      <c r="I44" s="21"/>
      <c r="J44" s="20"/>
      <c r="K44" s="20"/>
      <c r="L44" s="43"/>
      <c r="M44" s="17">
        <f t="shared" si="9"/>
        <v>0</v>
      </c>
      <c r="N44" s="118"/>
    </row>
    <row r="45" spans="1:14" x14ac:dyDescent="0.25">
      <c r="A45" s="72" t="s">
        <v>342</v>
      </c>
      <c r="B45" s="21"/>
      <c r="C45" s="21"/>
      <c r="D45" s="6">
        <f t="shared" si="8"/>
        <v>0</v>
      </c>
      <c r="E45" s="21"/>
      <c r="F45" s="21"/>
      <c r="G45" s="21"/>
      <c r="H45" s="21"/>
      <c r="I45" s="21"/>
      <c r="J45" s="20"/>
      <c r="K45" s="20"/>
      <c r="L45" s="43"/>
      <c r="M45" s="17">
        <f t="shared" si="9"/>
        <v>0</v>
      </c>
      <c r="N45" s="118"/>
    </row>
    <row r="46" spans="1:14" x14ac:dyDescent="0.25">
      <c r="A46" s="4" t="s">
        <v>343</v>
      </c>
      <c r="B46" s="21"/>
      <c r="C46" s="21"/>
      <c r="D46" s="6">
        <f t="shared" si="8"/>
        <v>0</v>
      </c>
      <c r="E46" s="21"/>
      <c r="F46" s="21"/>
      <c r="G46" s="21"/>
      <c r="H46" s="21"/>
      <c r="I46" s="21"/>
      <c r="J46" s="20"/>
      <c r="K46" s="20"/>
      <c r="L46" s="43"/>
      <c r="M46" s="17">
        <f t="shared" si="9"/>
        <v>0</v>
      </c>
      <c r="N46" s="118"/>
    </row>
    <row r="47" spans="1:14" x14ac:dyDescent="0.25">
      <c r="A47" s="4" t="s">
        <v>344</v>
      </c>
      <c r="B47" s="21"/>
      <c r="C47" s="21"/>
      <c r="D47" s="6">
        <f t="shared" si="8"/>
        <v>0</v>
      </c>
      <c r="E47" s="21"/>
      <c r="F47" s="21"/>
      <c r="G47" s="21"/>
      <c r="H47" s="21"/>
      <c r="I47" s="21"/>
      <c r="J47" s="20"/>
      <c r="K47" s="20"/>
      <c r="L47" s="43"/>
      <c r="M47" s="17">
        <f t="shared" si="9"/>
        <v>0</v>
      </c>
      <c r="N47" s="118"/>
    </row>
    <row r="48" spans="1:14" x14ac:dyDescent="0.25">
      <c r="A48" s="4" t="s">
        <v>345</v>
      </c>
      <c r="B48" s="21"/>
      <c r="C48" s="21"/>
      <c r="D48" s="6">
        <f t="shared" si="8"/>
        <v>0</v>
      </c>
      <c r="E48" s="21"/>
      <c r="F48" s="21"/>
      <c r="G48" s="21"/>
      <c r="H48" s="21"/>
      <c r="I48" s="21"/>
      <c r="J48" s="20"/>
      <c r="K48" s="20"/>
      <c r="L48" s="43"/>
      <c r="M48" s="17">
        <f t="shared" si="9"/>
        <v>0</v>
      </c>
      <c r="N48" s="118"/>
    </row>
    <row r="49" spans="1:15" x14ac:dyDescent="0.25">
      <c r="A49" s="4" t="s">
        <v>346</v>
      </c>
      <c r="B49" s="21"/>
      <c r="C49" s="21"/>
      <c r="D49" s="6">
        <f t="shared" si="8"/>
        <v>0</v>
      </c>
      <c r="E49" s="21"/>
      <c r="F49" s="21"/>
      <c r="G49" s="21"/>
      <c r="H49" s="21"/>
      <c r="I49" s="21"/>
      <c r="J49" s="20"/>
      <c r="K49" s="20"/>
      <c r="L49" s="43"/>
      <c r="M49" s="17">
        <f t="shared" si="9"/>
        <v>0</v>
      </c>
      <c r="N49" s="118"/>
    </row>
    <row r="50" spans="1:15" x14ac:dyDescent="0.25">
      <c r="A50" s="73" t="s">
        <v>347</v>
      </c>
      <c r="B50" s="21">
        <f>5547.22+5720412.54</f>
        <v>5725959.7599999998</v>
      </c>
      <c r="C50" s="21">
        <v>51392</v>
      </c>
      <c r="D50" s="6">
        <f>B50+C50</f>
        <v>5777351.7599999998</v>
      </c>
      <c r="E50" s="21"/>
      <c r="F50" s="21"/>
      <c r="G50" s="21"/>
      <c r="H50" s="21"/>
      <c r="I50" s="21"/>
      <c r="J50" s="20"/>
      <c r="K50" s="20">
        <v>3510.42</v>
      </c>
      <c r="L50" s="43"/>
      <c r="M50" s="17">
        <f>D50+E50+F50+G50+H50+I50+J50+K50+L50</f>
        <v>5780862.1799999997</v>
      </c>
      <c r="N50" s="118"/>
    </row>
    <row r="51" spans="1:15" x14ac:dyDescent="0.25">
      <c r="A51" s="2" t="s">
        <v>18</v>
      </c>
      <c r="B51" s="6">
        <f>SUM(B32:B50)</f>
        <v>5725959.7599999998</v>
      </c>
      <c r="C51" s="6">
        <f>SUM(C32:C50)</f>
        <v>51392</v>
      </c>
      <c r="D51" s="6">
        <f>B51+C51</f>
        <v>5777351.7599999998</v>
      </c>
      <c r="E51" s="6">
        <f>SUM(E32:E50)</f>
        <v>1755505.56</v>
      </c>
      <c r="F51" s="6">
        <f t="shared" ref="F51:K51" si="10">SUM(F32:F50)</f>
        <v>0</v>
      </c>
      <c r="G51" s="6">
        <f t="shared" si="10"/>
        <v>0</v>
      </c>
      <c r="H51" s="6">
        <f t="shared" si="10"/>
        <v>0</v>
      </c>
      <c r="I51" s="6">
        <f t="shared" si="10"/>
        <v>0</v>
      </c>
      <c r="J51" s="6">
        <f t="shared" si="10"/>
        <v>0</v>
      </c>
      <c r="K51" s="17">
        <f t="shared" si="10"/>
        <v>3510.42</v>
      </c>
      <c r="M51" s="17">
        <f>D51+E51+F51+G51+H51+I51+J51+K51+L51</f>
        <v>7536367.7400000002</v>
      </c>
      <c r="N51" s="118">
        <f>SUM(M32:M50)</f>
        <v>7536367.7400000002</v>
      </c>
    </row>
    <row r="52" spans="1:15" x14ac:dyDescent="0.25">
      <c r="B52" s="6"/>
      <c r="D52" s="6"/>
      <c r="J52" s="6"/>
      <c r="M52" s="17"/>
      <c r="N52" s="118"/>
    </row>
    <row r="53" spans="1:15" x14ac:dyDescent="0.25">
      <c r="A53" s="2" t="s">
        <v>19</v>
      </c>
      <c r="B53" s="6">
        <f t="shared" ref="B53:K53" si="11">B23+B51+B28</f>
        <v>8317704.2899999991</v>
      </c>
      <c r="C53" s="6">
        <f t="shared" si="11"/>
        <v>44350</v>
      </c>
      <c r="D53" s="6">
        <f t="shared" si="11"/>
        <v>8362054.2899999991</v>
      </c>
      <c r="E53" s="6">
        <f t="shared" si="11"/>
        <v>1755505.56</v>
      </c>
      <c r="F53" s="6">
        <f t="shared" si="11"/>
        <v>0</v>
      </c>
      <c r="G53" s="6">
        <f t="shared" si="11"/>
        <v>0</v>
      </c>
      <c r="H53" s="6">
        <f t="shared" si="11"/>
        <v>0</v>
      </c>
      <c r="I53" s="6">
        <f t="shared" si="11"/>
        <v>0</v>
      </c>
      <c r="J53" s="6">
        <f t="shared" si="11"/>
        <v>328097.14</v>
      </c>
      <c r="K53" s="6">
        <f t="shared" si="11"/>
        <v>3510.42</v>
      </c>
      <c r="M53" s="6">
        <f>M23+M51+M28</f>
        <v>10449167.41</v>
      </c>
      <c r="N53" s="118"/>
    </row>
    <row r="54" spans="1:15" x14ac:dyDescent="0.25">
      <c r="B54" s="55" t="str">
        <f t="shared" ref="B54:M54" si="12">IF(B15=B53, "YES", "NO")</f>
        <v>YES</v>
      </c>
      <c r="C54" s="55" t="str">
        <f t="shared" si="12"/>
        <v>YES</v>
      </c>
      <c r="D54" s="55" t="str">
        <f t="shared" si="12"/>
        <v>YES</v>
      </c>
      <c r="E54" s="55" t="str">
        <f t="shared" si="12"/>
        <v>YES</v>
      </c>
      <c r="F54" s="55" t="str">
        <f t="shared" si="12"/>
        <v>YES</v>
      </c>
      <c r="G54" s="55" t="str">
        <f t="shared" si="12"/>
        <v>YES</v>
      </c>
      <c r="H54" s="55" t="str">
        <f t="shared" si="12"/>
        <v>YES</v>
      </c>
      <c r="I54" s="55" t="str">
        <f t="shared" si="12"/>
        <v>YES</v>
      </c>
      <c r="J54" s="55" t="str">
        <f t="shared" si="12"/>
        <v>YES</v>
      </c>
      <c r="K54" s="55" t="str">
        <f t="shared" si="12"/>
        <v>YES</v>
      </c>
      <c r="L54" s="55" t="str">
        <f t="shared" si="12"/>
        <v>YES</v>
      </c>
      <c r="M54" s="55" t="str">
        <f t="shared" si="12"/>
        <v>YES</v>
      </c>
      <c r="N54" s="118"/>
    </row>
    <row r="55" spans="1:15" x14ac:dyDescent="0.25">
      <c r="A55" s="3" t="s">
        <v>20</v>
      </c>
      <c r="B55" s="6"/>
      <c r="D55" s="6"/>
      <c r="J55" s="6"/>
      <c r="M55" s="17"/>
      <c r="N55" s="118"/>
    </row>
    <row r="56" spans="1:15" x14ac:dyDescent="0.25">
      <c r="A56" t="s">
        <v>200</v>
      </c>
      <c r="B56" s="25">
        <f>'General Fund - Revenue'!E73+'General Fund - Revenue'!G73+'General Fund - Revenue'!H73</f>
        <v>11774725.77</v>
      </c>
      <c r="C56" s="63"/>
      <c r="D56" s="6">
        <f>B56+C56</f>
        <v>11774725.77</v>
      </c>
      <c r="E56" s="21"/>
      <c r="F56" s="21"/>
      <c r="G56" s="21"/>
      <c r="H56" s="21"/>
      <c r="I56" s="21"/>
      <c r="J56" s="21"/>
      <c r="K56" s="20"/>
      <c r="L56" s="43"/>
      <c r="M56" s="17">
        <f t="shared" ref="M56:M63" si="13">D56+E56+F56+G56+H56+I56+J56+K56+L56</f>
        <v>11774725.77</v>
      </c>
      <c r="N56" s="118"/>
    </row>
    <row r="57" spans="1:15" x14ac:dyDescent="0.25">
      <c r="A57" t="s">
        <v>201</v>
      </c>
      <c r="B57" s="25">
        <f>'General Fund - Revenue'!Q73</f>
        <v>36683.5</v>
      </c>
      <c r="C57" s="63"/>
      <c r="D57" s="6">
        <f t="shared" ref="D57:D64" si="14">B57+C57</f>
        <v>36683.5</v>
      </c>
      <c r="E57" s="21"/>
      <c r="F57" s="21"/>
      <c r="G57" s="21"/>
      <c r="H57" s="21"/>
      <c r="I57" s="21"/>
      <c r="J57" s="21"/>
      <c r="K57" s="20"/>
      <c r="L57" s="43"/>
      <c r="M57" s="17">
        <f t="shared" si="13"/>
        <v>36683.5</v>
      </c>
      <c r="N57" s="118"/>
    </row>
    <row r="58" spans="1:15" x14ac:dyDescent="0.25">
      <c r="A58" s="4" t="s">
        <v>21</v>
      </c>
      <c r="B58" s="25">
        <f>'General Fund - Revenue'!I73+'General Fund - Revenue'!L73</f>
        <v>2464912.4700000002</v>
      </c>
      <c r="C58" s="63"/>
      <c r="D58" s="6">
        <f t="shared" si="14"/>
        <v>2464912.4700000002</v>
      </c>
      <c r="E58" s="21"/>
      <c r="F58" s="21"/>
      <c r="G58" s="21"/>
      <c r="H58" s="21"/>
      <c r="I58" s="21"/>
      <c r="J58" s="21"/>
      <c r="K58" s="20"/>
      <c r="L58" s="43"/>
      <c r="M58" s="17">
        <f t="shared" si="13"/>
        <v>2464912.4700000002</v>
      </c>
      <c r="N58" s="118"/>
    </row>
    <row r="59" spans="1:15" x14ac:dyDescent="0.25">
      <c r="A59" s="4" t="s">
        <v>22</v>
      </c>
      <c r="B59" s="25">
        <f>'General Fund - Revenue'!M73</f>
        <v>2316964.63</v>
      </c>
      <c r="C59" s="63"/>
      <c r="D59" s="6">
        <f t="shared" si="14"/>
        <v>2316964.63</v>
      </c>
      <c r="E59" s="21"/>
      <c r="F59" s="21"/>
      <c r="G59" s="21"/>
      <c r="H59" s="21"/>
      <c r="I59" s="21"/>
      <c r="J59" s="21"/>
      <c r="K59" s="20"/>
      <c r="L59" s="43"/>
      <c r="M59" s="45">
        <f t="shared" si="13"/>
        <v>2316964.63</v>
      </c>
      <c r="N59" s="118"/>
    </row>
    <row r="60" spans="1:15" x14ac:dyDescent="0.25">
      <c r="A60" s="4" t="s">
        <v>202</v>
      </c>
      <c r="B60" s="25">
        <f>'General Fund - Revenue'!N73</f>
        <v>130448.96000000001</v>
      </c>
      <c r="C60" s="63"/>
      <c r="D60" s="6">
        <f t="shared" si="14"/>
        <v>130448.96000000001</v>
      </c>
      <c r="E60" s="21"/>
      <c r="F60" s="21"/>
      <c r="G60" s="21"/>
      <c r="H60" s="21"/>
      <c r="I60" s="21"/>
      <c r="J60" s="21"/>
      <c r="K60" s="20"/>
      <c r="L60" s="43"/>
      <c r="M60" s="17">
        <f t="shared" si="13"/>
        <v>130448.96000000001</v>
      </c>
      <c r="N60" s="118"/>
      <c r="O60" t="s">
        <v>312</v>
      </c>
    </row>
    <row r="61" spans="1:15" x14ac:dyDescent="0.25">
      <c r="A61" s="4" t="s">
        <v>23</v>
      </c>
      <c r="B61" s="25">
        <f>'General Fund - Revenue'!O73</f>
        <v>17474.179999999997</v>
      </c>
      <c r="C61" s="63"/>
      <c r="D61" s="6">
        <f t="shared" si="14"/>
        <v>17474.179999999997</v>
      </c>
      <c r="E61" s="21">
        <v>5075.6899999999996</v>
      </c>
      <c r="F61" s="21"/>
      <c r="G61" s="21"/>
      <c r="H61" s="21"/>
      <c r="I61" s="21"/>
      <c r="J61" s="21"/>
      <c r="K61" s="20"/>
      <c r="L61" s="43"/>
      <c r="M61" s="17">
        <f t="shared" si="13"/>
        <v>22549.869999999995</v>
      </c>
      <c r="N61" s="118"/>
    </row>
    <row r="62" spans="1:15" x14ac:dyDescent="0.25">
      <c r="A62" s="4" t="s">
        <v>117</v>
      </c>
      <c r="B62" s="25">
        <f>'General Fund - Revenue'!P73</f>
        <v>0</v>
      </c>
      <c r="C62" s="63"/>
      <c r="D62" s="6">
        <f t="shared" si="14"/>
        <v>0</v>
      </c>
      <c r="E62" s="21"/>
      <c r="F62" s="21"/>
      <c r="G62" s="21"/>
      <c r="H62" s="21"/>
      <c r="I62" s="21"/>
      <c r="J62" s="21"/>
      <c r="K62" s="20"/>
      <c r="L62" s="43"/>
      <c r="M62" s="17">
        <f t="shared" si="13"/>
        <v>0</v>
      </c>
      <c r="N62" s="118"/>
    </row>
    <row r="63" spans="1:15" x14ac:dyDescent="0.25">
      <c r="A63" s="4" t="s">
        <v>24</v>
      </c>
      <c r="B63" s="25">
        <f>'General Fund - Revenue'!K73</f>
        <v>349970.26</v>
      </c>
      <c r="C63" s="63"/>
      <c r="D63" s="6">
        <f t="shared" si="14"/>
        <v>349970.26</v>
      </c>
      <c r="E63" s="21">
        <v>2625.5</v>
      </c>
      <c r="F63" s="21"/>
      <c r="G63" s="21"/>
      <c r="H63" s="21"/>
      <c r="I63" s="21"/>
      <c r="J63" s="21"/>
      <c r="K63" s="20">
        <f>10662.24-10662.24</f>
        <v>0</v>
      </c>
      <c r="L63" s="43"/>
      <c r="M63" s="17">
        <f t="shared" si="13"/>
        <v>352595.76</v>
      </c>
      <c r="N63" s="118"/>
    </row>
    <row r="64" spans="1:15" x14ac:dyDescent="0.25">
      <c r="A64" s="2" t="s">
        <v>25</v>
      </c>
      <c r="B64" s="84">
        <f>SUM(B56:B63)</f>
        <v>17091179.770000003</v>
      </c>
      <c r="C64" s="6">
        <f>SUM(C56:C63)</f>
        <v>0</v>
      </c>
      <c r="D64" s="6">
        <f t="shared" si="14"/>
        <v>17091179.770000003</v>
      </c>
      <c r="E64" s="6">
        <f t="shared" ref="E64:J64" si="15">SUM(E56:E63)</f>
        <v>7701.19</v>
      </c>
      <c r="F64" s="6">
        <f t="shared" si="15"/>
        <v>0</v>
      </c>
      <c r="G64" s="6">
        <f t="shared" si="15"/>
        <v>0</v>
      </c>
      <c r="H64" s="6">
        <f t="shared" si="15"/>
        <v>0</v>
      </c>
      <c r="I64" s="6">
        <f t="shared" si="15"/>
        <v>0</v>
      </c>
      <c r="J64" s="6">
        <f t="shared" si="15"/>
        <v>0</v>
      </c>
      <c r="K64" s="17">
        <f>SUM(K56:K63)</f>
        <v>0</v>
      </c>
      <c r="M64" s="17">
        <f>SUM(M56:M63)</f>
        <v>17098880.960000001</v>
      </c>
      <c r="N64" s="118"/>
    </row>
    <row r="65" spans="1:14" x14ac:dyDescent="0.25">
      <c r="B65" s="84"/>
      <c r="D65" s="6"/>
      <c r="J65" s="6"/>
      <c r="M65" s="17"/>
      <c r="N65" s="118"/>
    </row>
    <row r="66" spans="1:14" x14ac:dyDescent="0.25">
      <c r="A66" s="3" t="s">
        <v>26</v>
      </c>
      <c r="B66" s="84"/>
      <c r="D66" s="6"/>
      <c r="J66" s="6"/>
      <c r="M66" s="17"/>
      <c r="N66" s="118"/>
    </row>
    <row r="67" spans="1:14" x14ac:dyDescent="0.25">
      <c r="A67" s="4" t="s">
        <v>27</v>
      </c>
      <c r="B67" s="25">
        <f>'General Fund - Revenue'!T73</f>
        <v>7098258.6400000015</v>
      </c>
      <c r="C67" s="63"/>
      <c r="D67" s="6">
        <f>B67+C67</f>
        <v>7098258.6400000015</v>
      </c>
      <c r="E67" s="21"/>
      <c r="F67" s="21"/>
      <c r="G67" s="21"/>
      <c r="H67" s="21"/>
      <c r="I67" s="21"/>
      <c r="J67" s="21"/>
      <c r="K67" s="20"/>
      <c r="L67" s="43"/>
      <c r="M67" s="17">
        <f t="shared" ref="M67:M76" si="16">D67+E67+F67+G67+H67+I67+J67+K67+L67</f>
        <v>7098258.6400000015</v>
      </c>
      <c r="N67" s="118"/>
    </row>
    <row r="68" spans="1:14" x14ac:dyDescent="0.25">
      <c r="A68" s="4" t="s">
        <v>28</v>
      </c>
      <c r="B68" s="25">
        <f>'General Fund - Revenue'!U73</f>
        <v>3420921.3100000005</v>
      </c>
      <c r="C68" s="63"/>
      <c r="D68" s="6">
        <f t="shared" ref="D68:D76" si="17">B68+C68</f>
        <v>3420921.3100000005</v>
      </c>
      <c r="E68" s="21"/>
      <c r="F68" s="21"/>
      <c r="G68" s="21"/>
      <c r="H68" s="21"/>
      <c r="I68" s="21"/>
      <c r="J68" s="21"/>
      <c r="K68" s="20"/>
      <c r="L68" s="43"/>
      <c r="M68" s="17">
        <f t="shared" si="16"/>
        <v>3420921.3100000005</v>
      </c>
      <c r="N68" s="118"/>
    </row>
    <row r="69" spans="1:14" x14ac:dyDescent="0.25">
      <c r="A69" s="4" t="s">
        <v>29</v>
      </c>
      <c r="B69" s="25">
        <f>'General Fund - Revenue'!V73</f>
        <v>4859726.79</v>
      </c>
      <c r="C69" s="63"/>
      <c r="D69" s="6">
        <f t="shared" si="17"/>
        <v>4859726.79</v>
      </c>
      <c r="E69" s="21"/>
      <c r="F69" s="21"/>
      <c r="G69" s="21"/>
      <c r="H69" s="21"/>
      <c r="I69" s="21"/>
      <c r="J69" s="21"/>
      <c r="K69" s="20"/>
      <c r="L69" s="43"/>
      <c r="M69" s="17">
        <f t="shared" si="16"/>
        <v>4859726.79</v>
      </c>
      <c r="N69" s="118"/>
    </row>
    <row r="70" spans="1:14" x14ac:dyDescent="0.25">
      <c r="A70" s="4" t="s">
        <v>30</v>
      </c>
      <c r="B70" s="25">
        <f>'General Fund - Revenue'!W73</f>
        <v>527577.1</v>
      </c>
      <c r="C70" s="63"/>
      <c r="D70" s="6">
        <f t="shared" si="17"/>
        <v>527577.1</v>
      </c>
      <c r="E70" s="21"/>
      <c r="F70" s="21"/>
      <c r="G70" s="21"/>
      <c r="H70" s="21"/>
      <c r="I70" s="21"/>
      <c r="J70" s="21"/>
      <c r="K70" s="20"/>
      <c r="L70" s="43"/>
      <c r="M70" s="17">
        <f t="shared" si="16"/>
        <v>527577.1</v>
      </c>
      <c r="N70" s="118"/>
    </row>
    <row r="71" spans="1:14" x14ac:dyDescent="0.25">
      <c r="A71" s="4" t="s">
        <v>31</v>
      </c>
      <c r="B71" s="25">
        <f>'General Fund - Revenue'!X73</f>
        <v>125330.94</v>
      </c>
      <c r="C71" s="63"/>
      <c r="D71" s="6">
        <f t="shared" si="17"/>
        <v>125330.94</v>
      </c>
      <c r="E71" s="21"/>
      <c r="F71" s="21"/>
      <c r="G71" s="21"/>
      <c r="H71" s="21"/>
      <c r="I71" s="21"/>
      <c r="J71" s="21"/>
      <c r="K71" s="20"/>
      <c r="L71" s="43"/>
      <c r="M71" s="17">
        <f t="shared" si="16"/>
        <v>125330.94</v>
      </c>
      <c r="N71" s="118"/>
    </row>
    <row r="72" spans="1:14" x14ac:dyDescent="0.25">
      <c r="A72" s="4" t="s">
        <v>63</v>
      </c>
      <c r="B72" s="25">
        <f>'General Fund - Revenue'!Y73</f>
        <v>660670.42999999993</v>
      </c>
      <c r="C72" s="63"/>
      <c r="D72" s="6">
        <f>B72+C72</f>
        <v>660670.42999999993</v>
      </c>
      <c r="E72" s="21"/>
      <c r="F72" s="21"/>
      <c r="G72" s="21"/>
      <c r="H72" s="21"/>
      <c r="I72" s="21"/>
      <c r="J72" s="21"/>
      <c r="K72" s="20"/>
      <c r="L72" s="43"/>
      <c r="M72" s="17">
        <f t="shared" si="16"/>
        <v>660670.42999999993</v>
      </c>
      <c r="N72" s="118"/>
    </row>
    <row r="73" spans="1:14" x14ac:dyDescent="0.25">
      <c r="A73" s="4" t="s">
        <v>245</v>
      </c>
      <c r="B73" s="25">
        <f>'General Fund - Revenue'!Z73</f>
        <v>394165.19</v>
      </c>
      <c r="C73" s="63"/>
      <c r="D73" s="6">
        <f>B73+C73</f>
        <v>394165.19</v>
      </c>
      <c r="E73" s="21"/>
      <c r="F73" s="21"/>
      <c r="G73" s="21"/>
      <c r="H73" s="21"/>
      <c r="I73" s="21"/>
      <c r="J73" s="21"/>
      <c r="K73" s="20"/>
      <c r="L73" s="43"/>
      <c r="M73" s="17">
        <f t="shared" si="16"/>
        <v>394165.19</v>
      </c>
      <c r="N73" s="118"/>
    </row>
    <row r="74" spans="1:14" x14ac:dyDescent="0.25">
      <c r="A74" s="4" t="s">
        <v>203</v>
      </c>
      <c r="B74" s="25">
        <f>'General Fund - Revenue'!AA64</f>
        <v>0</v>
      </c>
      <c r="C74" s="63"/>
      <c r="D74" s="6">
        <f t="shared" si="17"/>
        <v>0</v>
      </c>
      <c r="E74" s="21"/>
      <c r="F74" s="21"/>
      <c r="G74" s="21"/>
      <c r="H74" s="21"/>
      <c r="I74" s="21"/>
      <c r="J74" s="21"/>
      <c r="K74" s="20"/>
      <c r="L74" s="43"/>
      <c r="M74" s="17">
        <f t="shared" si="16"/>
        <v>0</v>
      </c>
      <c r="N74" s="118"/>
    </row>
    <row r="75" spans="1:14" x14ac:dyDescent="0.25">
      <c r="A75" s="4" t="s">
        <v>149</v>
      </c>
      <c r="B75" s="25">
        <f>'General Fund - Revenue'!AB64</f>
        <v>0</v>
      </c>
      <c r="C75" s="63"/>
      <c r="D75" s="6">
        <f t="shared" si="17"/>
        <v>0</v>
      </c>
      <c r="E75" s="21"/>
      <c r="F75" s="21"/>
      <c r="G75" s="21"/>
      <c r="H75" s="21"/>
      <c r="I75" s="21"/>
      <c r="J75" s="21"/>
      <c r="K75" s="20"/>
      <c r="L75" s="43"/>
      <c r="M75" s="17">
        <f t="shared" si="16"/>
        <v>0</v>
      </c>
      <c r="N75" s="118"/>
    </row>
    <row r="76" spans="1:14" x14ac:dyDescent="0.25">
      <c r="A76" s="2" t="s">
        <v>32</v>
      </c>
      <c r="B76" s="6">
        <f>SUM(B67:B75)</f>
        <v>17086650.400000002</v>
      </c>
      <c r="C76" s="6">
        <f>SUM(C67:C75)</f>
        <v>0</v>
      </c>
      <c r="D76" s="6">
        <f t="shared" si="17"/>
        <v>17086650.400000002</v>
      </c>
      <c r="E76" s="6">
        <f t="shared" ref="E76:J76" si="18">SUM(E67:E75)</f>
        <v>0</v>
      </c>
      <c r="F76" s="6">
        <f t="shared" si="18"/>
        <v>0</v>
      </c>
      <c r="G76" s="6">
        <f t="shared" si="18"/>
        <v>0</v>
      </c>
      <c r="H76" s="6">
        <f t="shared" si="18"/>
        <v>0</v>
      </c>
      <c r="I76" s="6">
        <f t="shared" si="18"/>
        <v>0</v>
      </c>
      <c r="J76" s="6">
        <f t="shared" si="18"/>
        <v>0</v>
      </c>
      <c r="K76" s="17">
        <f>SUM(K67:K75)</f>
        <v>0</v>
      </c>
      <c r="M76" s="17">
        <f t="shared" si="16"/>
        <v>17086650.400000002</v>
      </c>
      <c r="N76" s="118"/>
    </row>
    <row r="77" spans="1:14" x14ac:dyDescent="0.25">
      <c r="B77" s="6"/>
      <c r="D77" s="6"/>
      <c r="J77" s="6"/>
      <c r="M77" s="17"/>
      <c r="N77" s="118"/>
    </row>
    <row r="78" spans="1:14" x14ac:dyDescent="0.25">
      <c r="A78" s="2" t="s">
        <v>33</v>
      </c>
      <c r="B78" s="6">
        <f>B64-B76</f>
        <v>4529.3700000010431</v>
      </c>
      <c r="C78" s="6">
        <f>C64-C76</f>
        <v>0</v>
      </c>
      <c r="D78" s="6">
        <f>B78+C78</f>
        <v>4529.3700000010431</v>
      </c>
      <c r="E78" s="6">
        <f t="shared" ref="E78:J78" si="19">E64-E76</f>
        <v>7701.19</v>
      </c>
      <c r="F78" s="6">
        <f t="shared" si="19"/>
        <v>0</v>
      </c>
      <c r="G78" s="6">
        <f t="shared" si="19"/>
        <v>0</v>
      </c>
      <c r="H78" s="6">
        <f t="shared" si="19"/>
        <v>0</v>
      </c>
      <c r="I78" s="6">
        <f t="shared" si="19"/>
        <v>0</v>
      </c>
      <c r="J78" s="6">
        <f t="shared" si="19"/>
        <v>0</v>
      </c>
      <c r="K78" s="17">
        <f>K64-K76</f>
        <v>0</v>
      </c>
      <c r="M78" s="17">
        <f>M64-M76</f>
        <v>12230.559999998659</v>
      </c>
      <c r="N78" s="118"/>
    </row>
    <row r="79" spans="1:14" x14ac:dyDescent="0.25">
      <c r="A79" s="2"/>
      <c r="B79" s="6"/>
      <c r="D79" s="6"/>
      <c r="J79" s="6"/>
      <c r="M79" s="17"/>
      <c r="N79" s="118"/>
    </row>
    <row r="80" spans="1:14" x14ac:dyDescent="0.25">
      <c r="A80" s="38" t="s">
        <v>301</v>
      </c>
      <c r="B80" s="21">
        <f>'General Fund - Revenue'!J73</f>
        <v>3038.84</v>
      </c>
      <c r="C80" s="21"/>
      <c r="D80" s="6">
        <f>B80+C80</f>
        <v>3038.84</v>
      </c>
      <c r="E80" s="21"/>
      <c r="F80" s="21"/>
      <c r="G80" s="21"/>
      <c r="H80" s="21"/>
      <c r="I80" s="21"/>
      <c r="J80" s="21"/>
      <c r="K80" s="20"/>
      <c r="L80" s="43"/>
      <c r="M80" s="17">
        <f>D80+E80+F80+G80+H80+I80+J80+K80+L80</f>
        <v>3038.84</v>
      </c>
      <c r="N80" s="118"/>
    </row>
    <row r="81" spans="1:14" x14ac:dyDescent="0.25">
      <c r="A81" t="s">
        <v>34</v>
      </c>
      <c r="B81" s="62">
        <f>'General Fund - Revenue'!AF73</f>
        <v>4371940.43</v>
      </c>
      <c r="C81" s="21"/>
      <c r="D81" s="6">
        <f>B81+C81</f>
        <v>4371940.43</v>
      </c>
      <c r="E81" s="21"/>
      <c r="F81" s="21"/>
      <c r="G81" s="21"/>
      <c r="H81" s="21"/>
      <c r="I81" s="21"/>
      <c r="J81" s="21"/>
      <c r="K81" s="20"/>
      <c r="L81" s="43"/>
      <c r="M81" s="17">
        <f>D81+E81+F81+G81+H81+I81+J81+K81+L81</f>
        <v>4371940.43</v>
      </c>
      <c r="N81" s="118"/>
    </row>
    <row r="82" spans="1:14" x14ac:dyDescent="0.25">
      <c r="A82" t="s">
        <v>35</v>
      </c>
      <c r="B82" s="62">
        <f>'General Fund - Revenue'!AG73</f>
        <v>2218764.13</v>
      </c>
      <c r="C82" s="21"/>
      <c r="D82" s="6">
        <f>B82+C82</f>
        <v>2218764.13</v>
      </c>
      <c r="E82" s="21">
        <v>3107708.04</v>
      </c>
      <c r="F82" s="21"/>
      <c r="G82" s="21"/>
      <c r="H82" s="21"/>
      <c r="I82" s="21"/>
      <c r="J82" s="21"/>
      <c r="K82" s="20">
        <f>10792.09-10662.24-1000</f>
        <v>-870.14999999999964</v>
      </c>
      <c r="L82" s="43"/>
      <c r="M82" s="17">
        <f>D82+E82+F82+G82+H82+I82+J82+K82+L82</f>
        <v>5325602.0199999996</v>
      </c>
      <c r="N82" s="118"/>
    </row>
    <row r="83" spans="1:14" x14ac:dyDescent="0.25">
      <c r="A83" s="2" t="s">
        <v>36</v>
      </c>
      <c r="B83" s="6">
        <f>B80+B81-B82</f>
        <v>2156215.1399999997</v>
      </c>
      <c r="C83" s="6">
        <f>C80+C81-C82</f>
        <v>0</v>
      </c>
      <c r="D83" s="6">
        <f>B83+C83</f>
        <v>2156215.1399999997</v>
      </c>
      <c r="E83" s="6">
        <f t="shared" ref="E83:J83" si="20">E80+E81-E82</f>
        <v>-3107708.04</v>
      </c>
      <c r="F83" s="6">
        <f t="shared" si="20"/>
        <v>0</v>
      </c>
      <c r="G83" s="6">
        <f t="shared" si="20"/>
        <v>0</v>
      </c>
      <c r="H83" s="6">
        <f t="shared" si="20"/>
        <v>0</v>
      </c>
      <c r="I83" s="6">
        <f t="shared" si="20"/>
        <v>0</v>
      </c>
      <c r="J83" s="6">
        <f t="shared" si="20"/>
        <v>0</v>
      </c>
      <c r="K83" s="17">
        <f>K81-K82</f>
        <v>870.14999999999964</v>
      </c>
      <c r="M83" s="17">
        <f>D83+E83+F83+G83+H83+I83+J83+K83+L83</f>
        <v>-950622.75000000035</v>
      </c>
      <c r="N83" s="118"/>
    </row>
    <row r="84" spans="1:14" x14ac:dyDescent="0.25">
      <c r="B84" s="6"/>
      <c r="D84" s="6"/>
      <c r="J84" s="6"/>
      <c r="M84" s="17"/>
      <c r="N84" s="118"/>
    </row>
    <row r="85" spans="1:14" x14ac:dyDescent="0.25">
      <c r="A85" s="2" t="s">
        <v>37</v>
      </c>
      <c r="B85" s="6">
        <f>B78+B83</f>
        <v>2160744.5100000007</v>
      </c>
      <c r="C85" s="6">
        <f>C78+C83</f>
        <v>0</v>
      </c>
      <c r="D85" s="6">
        <f>B85+C85</f>
        <v>2160744.5100000007</v>
      </c>
      <c r="E85" s="6">
        <f t="shared" ref="E85:J85" si="21">E78+E83</f>
        <v>-3100006.85</v>
      </c>
      <c r="F85" s="6">
        <f t="shared" si="21"/>
        <v>0</v>
      </c>
      <c r="G85" s="6">
        <f t="shared" si="21"/>
        <v>0</v>
      </c>
      <c r="H85" s="6">
        <f t="shared" si="21"/>
        <v>0</v>
      </c>
      <c r="I85" s="6">
        <f t="shared" si="21"/>
        <v>0</v>
      </c>
      <c r="J85" s="6">
        <f t="shared" si="21"/>
        <v>0</v>
      </c>
      <c r="K85" s="17">
        <f>K78+K83</f>
        <v>870.14999999999964</v>
      </c>
      <c r="M85" s="17">
        <f>D85+E85+F85+G85+H85+I85+J85+K85+L85</f>
        <v>-938392.18999999936</v>
      </c>
      <c r="N85" s="118"/>
    </row>
    <row r="86" spans="1:14" x14ac:dyDescent="0.25">
      <c r="A86" t="s">
        <v>38</v>
      </c>
      <c r="B86" s="6">
        <f>B87-B85</f>
        <v>3565215.2499999991</v>
      </c>
      <c r="C86" s="6">
        <f>C87-C85</f>
        <v>51392</v>
      </c>
      <c r="D86" s="6">
        <f>B86+C86</f>
        <v>3616607.2499999991</v>
      </c>
      <c r="E86" s="6">
        <f t="shared" ref="E86:J86" si="22">E87-E85</f>
        <v>4855512.41</v>
      </c>
      <c r="F86" s="6">
        <f t="shared" si="22"/>
        <v>0</v>
      </c>
      <c r="G86" s="6">
        <f t="shared" si="22"/>
        <v>0</v>
      </c>
      <c r="H86" s="6">
        <f t="shared" si="22"/>
        <v>0</v>
      </c>
      <c r="I86" s="6">
        <f t="shared" si="22"/>
        <v>0</v>
      </c>
      <c r="J86" s="6">
        <f t="shared" si="22"/>
        <v>0</v>
      </c>
      <c r="K86" s="17">
        <f>K87-K85</f>
        <v>2640.2700000000004</v>
      </c>
      <c r="M86" s="17">
        <f>D86+E86+F86+G86+H86+I86+J86+K86+L86</f>
        <v>8474759.9299999997</v>
      </c>
      <c r="N86" s="118"/>
    </row>
    <row r="87" spans="1:14" x14ac:dyDescent="0.25">
      <c r="A87" s="2" t="s">
        <v>39</v>
      </c>
      <c r="B87" s="6">
        <f>B51</f>
        <v>5725959.7599999998</v>
      </c>
      <c r="C87" s="6">
        <f>C51</f>
        <v>51392</v>
      </c>
      <c r="D87" s="6">
        <f>B87+C87</f>
        <v>5777351.7599999998</v>
      </c>
      <c r="E87" s="6">
        <f>E33</f>
        <v>1755505.56</v>
      </c>
      <c r="F87" s="6">
        <f t="shared" ref="F87:J87" si="23">F50</f>
        <v>0</v>
      </c>
      <c r="G87" s="6">
        <f t="shared" si="23"/>
        <v>0</v>
      </c>
      <c r="H87" s="6">
        <f t="shared" si="23"/>
        <v>0</v>
      </c>
      <c r="I87" s="6">
        <f t="shared" si="23"/>
        <v>0</v>
      </c>
      <c r="J87" s="6">
        <f t="shared" si="23"/>
        <v>0</v>
      </c>
      <c r="K87" s="17">
        <f>K51</f>
        <v>3510.42</v>
      </c>
      <c r="M87" s="17">
        <f>D87+E87+F87+G87+H87+I87+J87+K87+L87</f>
        <v>7536367.7400000002</v>
      </c>
      <c r="N87" s="118"/>
    </row>
    <row r="88" spans="1:14" x14ac:dyDescent="0.25">
      <c r="N88" s="120"/>
    </row>
    <row r="89" spans="1:14" x14ac:dyDescent="0.25">
      <c r="N89" s="120"/>
    </row>
    <row r="90" spans="1:14" x14ac:dyDescent="0.25">
      <c r="N90" s="120"/>
    </row>
    <row r="91" spans="1:14" x14ac:dyDescent="0.25">
      <c r="N91" s="120"/>
    </row>
    <row r="92" spans="1:14" x14ac:dyDescent="0.25">
      <c r="N92" s="120"/>
    </row>
    <row r="93" spans="1:14" x14ac:dyDescent="0.25">
      <c r="N93" s="120"/>
    </row>
    <row r="94" spans="1:14" x14ac:dyDescent="0.25">
      <c r="N94" s="120"/>
    </row>
    <row r="95" spans="1:14" x14ac:dyDescent="0.25">
      <c r="N95" s="120"/>
    </row>
    <row r="96" spans="1:14" x14ac:dyDescent="0.25">
      <c r="N96" s="120"/>
    </row>
    <row r="97" spans="3:14" x14ac:dyDescent="0.25">
      <c r="N97" s="120"/>
    </row>
    <row r="107" spans="3:14" x14ac:dyDescent="0.25">
      <c r="C107"/>
    </row>
    <row r="108" spans="3:14" x14ac:dyDescent="0.25">
      <c r="C108"/>
    </row>
    <row r="109" spans="3:14" x14ac:dyDescent="0.25">
      <c r="C109"/>
    </row>
  </sheetData>
  <customSheetViews>
    <customSheetView guid="{E68B3865-8D72-47E7-BE32-0FF7EB09E889}" fitToPage="1">
      <pane xSplit="1" ySplit="5" topLeftCell="B51" activePane="bottomRight" state="frozen"/>
      <selection pane="bottomRight" activeCell="M57" sqref="M57:M64"/>
      <pageMargins left="0.7" right="0.7" top="0.75" bottom="0.75" header="0.3" footer="0.3"/>
      <pageSetup scale="56" orientation="portrait" horizontalDpi="1200" r:id="rId1"/>
    </customSheetView>
    <customSheetView guid="{2B2709E2-6DF4-4CC4-88D0-056FB306137C}" fitToPage="1">
      <pane xSplit="1" ySplit="5" topLeftCell="B33" activePane="bottomRight" state="frozen"/>
      <selection pane="bottomRight" activeCell="B55" sqref="B55"/>
      <pageMargins left="0.7" right="0.7" top="0.75" bottom="0.75" header="0.3" footer="0.3"/>
      <pageSetup scale="56" orientation="portrait" horizontalDpi="1200" r:id="rId2"/>
    </customSheetView>
    <customSheetView guid="{EC03C3C8-7E57-47C6-8413-F484E8C46A0C}" showPageBreaks="1" fitToPage="1">
      <pane xSplit="1" ySplit="5" topLeftCell="B48" activePane="bottomRight" state="frozen"/>
      <selection pane="bottomRight" activeCell="C54" sqref="C54"/>
      <pageMargins left="0.7" right="0.7" top="0.75" bottom="0.75" header="0.3" footer="0.3"/>
      <pageSetup scale="56" orientation="portrait" horizontalDpi="1200" r:id="rId3"/>
    </customSheetView>
    <customSheetView guid="{D62C3EC3-27D1-41F3-9A4E-06307CA202CE}" showPageBreaks="1" fitToPage="1" showRuler="0">
      <pane xSplit="1" ySplit="5" topLeftCell="B6" activePane="bottomRight" state="frozen"/>
      <selection pane="bottomRight" activeCell="B40" sqref="B40"/>
      <pageMargins left="0.7" right="0.7" top="0.75" bottom="0.75" header="0.3" footer="0.3"/>
      <pageSetup scale="56" orientation="portrait" horizontalDpi="1200" r:id="rId4"/>
      <headerFooter alignWithMargins="0"/>
    </customSheetView>
    <customSheetView guid="{A6F79E61-D6A3-44FD-B4A4-4724DF74349B}" showPageBreaks="1" fitToPage="1">
      <pane xSplit="1" ySplit="5" topLeftCell="B9" activePane="bottomRight" state="frozen"/>
      <selection pane="bottomRight" activeCell="B25" sqref="B25"/>
      <pageMargins left="0.7" right="0.7" top="0.75" bottom="0.75" header="0.3" footer="0.3"/>
      <pageSetup scale="39" orientation="landscape" horizontalDpi="1200" r:id="rId5"/>
    </customSheetView>
    <customSheetView guid="{DE6E911D-85BF-467A-AA00-1E84C5349CF7}" showPageBreaks="1" fitToPage="1">
      <pane xSplit="1" ySplit="5" topLeftCell="B54" activePane="bottomRight" state="frozen"/>
      <selection pane="bottomRight" activeCell="K82" sqref="K82"/>
      <pageMargins left="0.7" right="0.7" top="0.75" bottom="0.75" header="0.3" footer="0.3"/>
      <pageSetup scale="35" orientation="portrait" r:id="rId6"/>
    </customSheetView>
  </customSheetViews>
  <phoneticPr fontId="0" type="noConversion"/>
  <pageMargins left="0.7" right="0.7" top="0.75" bottom="0.75" header="0.3" footer="0.3"/>
  <pageSetup scale="56" orientation="portrait" horizontalDpi="1200"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78"/>
  <sheetViews>
    <sheetView zoomScale="90" zoomScaleNormal="90" workbookViewId="0">
      <pane xSplit="2" ySplit="6" topLeftCell="D7" activePane="bottomRight" state="frozen"/>
      <selection pane="topRight" activeCell="C1" sqref="C1"/>
      <selection pane="bottomLeft" activeCell="A7" sqref="A7"/>
      <selection pane="bottomRight" activeCell="L31" sqref="L31"/>
    </sheetView>
  </sheetViews>
  <sheetFormatPr defaultRowHeight="15" x14ac:dyDescent="0.25"/>
  <cols>
    <col min="1" max="1" width="27.7109375" customWidth="1"/>
    <col min="2" max="2" width="10.5703125" customWidth="1"/>
    <col min="3" max="3" width="13.85546875" style="9" bestFit="1" customWidth="1"/>
    <col min="4" max="6" width="14.85546875" style="9" bestFit="1" customWidth="1"/>
    <col min="7" max="10" width="13.85546875" style="9" customWidth="1"/>
    <col min="11" max="11" width="12" style="9" bestFit="1" customWidth="1"/>
    <col min="12" max="13" width="13.5703125" style="9" bestFit="1" customWidth="1"/>
    <col min="14" max="14" width="12" style="9" bestFit="1" customWidth="1"/>
    <col min="15" max="15" width="11.42578125" style="9" customWidth="1"/>
    <col min="16" max="16" width="14" style="9" customWidth="1"/>
    <col min="17" max="17" width="13.85546875" style="9" bestFit="1" customWidth="1"/>
    <col min="18" max="18" width="14.85546875" style="9" bestFit="1" customWidth="1"/>
    <col min="19" max="19" width="13.85546875" style="9" bestFit="1" customWidth="1"/>
    <col min="20" max="20" width="14.85546875" style="9" bestFit="1" customWidth="1"/>
    <col min="21" max="22" width="13.5703125" style="9" bestFit="1" customWidth="1"/>
    <col min="23" max="23" width="12.7109375" style="9" bestFit="1" customWidth="1"/>
    <col min="24" max="24" width="12" style="9" bestFit="1" customWidth="1"/>
    <col min="25" max="26" width="14.42578125" style="9" customWidth="1"/>
    <col min="27" max="27" width="9.140625" style="9"/>
    <col min="28" max="28" width="11.140625" style="9" bestFit="1" customWidth="1"/>
    <col min="29" max="29" width="14.85546875" style="9" bestFit="1" customWidth="1"/>
    <col min="30" max="30" width="13.85546875" style="9" bestFit="1" customWidth="1"/>
    <col min="31" max="31" width="14.85546875" style="9" bestFit="1" customWidth="1"/>
    <col min="32" max="32" width="13.5703125" style="9" bestFit="1" customWidth="1"/>
    <col min="33" max="33" width="15.7109375" style="9" customWidth="1"/>
    <col min="34" max="34" width="15.5703125" bestFit="1" customWidth="1"/>
    <col min="35" max="35" width="14.140625" bestFit="1" customWidth="1"/>
    <col min="36" max="36" width="14.42578125" customWidth="1"/>
    <col min="37" max="37" width="14.85546875" bestFit="1" customWidth="1"/>
  </cols>
  <sheetData>
    <row r="1" spans="1:34" ht="21" x14ac:dyDescent="0.35">
      <c r="A1" s="13" t="s">
        <v>377</v>
      </c>
      <c r="B1" s="13"/>
    </row>
    <row r="2" spans="1:34" ht="21" x14ac:dyDescent="0.35">
      <c r="A2" s="13" t="s">
        <v>110</v>
      </c>
      <c r="B2" s="13"/>
    </row>
    <row r="3" spans="1:34" ht="21" x14ac:dyDescent="0.35">
      <c r="A3" s="32">
        <v>43435</v>
      </c>
      <c r="B3" s="32"/>
    </row>
    <row r="4" spans="1:34" x14ac:dyDescent="0.25">
      <c r="E4" s="70"/>
      <c r="F4" s="66" t="s">
        <v>317</v>
      </c>
    </row>
    <row r="5" spans="1:34" ht="21" x14ac:dyDescent="0.35">
      <c r="C5" s="12" t="s">
        <v>112</v>
      </c>
      <c r="D5" s="12"/>
      <c r="E5" s="12"/>
      <c r="F5" s="12"/>
      <c r="G5" s="12"/>
      <c r="H5" s="12"/>
      <c r="I5" s="12"/>
      <c r="J5" s="117" t="s">
        <v>394</v>
      </c>
      <c r="T5" s="12" t="s">
        <v>119</v>
      </c>
    </row>
    <row r="6" spans="1:34" s="2" customFormat="1" ht="45" x14ac:dyDescent="0.25">
      <c r="A6" s="2" t="s">
        <v>111</v>
      </c>
      <c r="B6" s="2" t="s">
        <v>307</v>
      </c>
      <c r="C6" s="10" t="s">
        <v>20</v>
      </c>
      <c r="D6" s="10" t="s">
        <v>216</v>
      </c>
      <c r="E6" s="202" t="s">
        <v>213</v>
      </c>
      <c r="F6" s="202" t="s">
        <v>217</v>
      </c>
      <c r="G6" s="202" t="s">
        <v>214</v>
      </c>
      <c r="H6" s="202" t="s">
        <v>215</v>
      </c>
      <c r="I6" s="202" t="s">
        <v>219</v>
      </c>
      <c r="J6" s="10" t="s">
        <v>218</v>
      </c>
      <c r="K6" s="203" t="s">
        <v>24</v>
      </c>
      <c r="L6" s="203" t="s">
        <v>114</v>
      </c>
      <c r="M6" s="202" t="s">
        <v>115</v>
      </c>
      <c r="N6" s="10" t="s">
        <v>116</v>
      </c>
      <c r="O6" s="202" t="s">
        <v>23</v>
      </c>
      <c r="P6" s="10" t="s">
        <v>308</v>
      </c>
      <c r="Q6" s="10" t="s">
        <v>113</v>
      </c>
      <c r="R6" s="10" t="s">
        <v>118</v>
      </c>
      <c r="S6" s="11"/>
      <c r="T6" s="10" t="s">
        <v>120</v>
      </c>
      <c r="U6" s="10" t="s">
        <v>121</v>
      </c>
      <c r="V6" s="10" t="s">
        <v>122</v>
      </c>
      <c r="W6" s="10" t="s">
        <v>123</v>
      </c>
      <c r="X6" s="10" t="s">
        <v>31</v>
      </c>
      <c r="Y6" s="10" t="s">
        <v>124</v>
      </c>
      <c r="Z6" s="10" t="s">
        <v>229</v>
      </c>
      <c r="AA6" s="10" t="s">
        <v>125</v>
      </c>
      <c r="AB6" s="10" t="s">
        <v>126</v>
      </c>
      <c r="AC6" s="10" t="s">
        <v>127</v>
      </c>
      <c r="AD6" s="11"/>
      <c r="AE6" s="10" t="s">
        <v>128</v>
      </c>
      <c r="AF6" s="10" t="s">
        <v>129</v>
      </c>
      <c r="AG6" s="10" t="s">
        <v>130</v>
      </c>
      <c r="AH6" s="2" t="s">
        <v>83</v>
      </c>
    </row>
    <row r="7" spans="1:34" x14ac:dyDescent="0.25">
      <c r="A7" t="s">
        <v>131</v>
      </c>
      <c r="B7">
        <v>1100</v>
      </c>
      <c r="D7" s="9">
        <f>SUM(E7:Q7)</f>
        <v>32527</v>
      </c>
      <c r="E7" s="68">
        <v>2505.9499999999998</v>
      </c>
      <c r="F7" s="68"/>
      <c r="G7" s="69">
        <v>13447.57</v>
      </c>
      <c r="H7" s="68"/>
      <c r="I7" s="67"/>
      <c r="J7" s="47"/>
      <c r="K7" s="47"/>
      <c r="L7" s="67">
        <v>-21450.76</v>
      </c>
      <c r="M7" s="47">
        <f>37700.24+447</f>
        <v>38147.24</v>
      </c>
      <c r="N7" s="47"/>
      <c r="O7" s="47"/>
      <c r="P7" s="47"/>
      <c r="Q7" s="47">
        <v>-123</v>
      </c>
      <c r="R7" s="33">
        <f>SUM(E7:Q7)</f>
        <v>32527</v>
      </c>
      <c r="T7" s="47">
        <v>902.92</v>
      </c>
      <c r="U7" s="85"/>
      <c r="V7" s="85"/>
      <c r="W7" s="85"/>
      <c r="X7" s="85"/>
      <c r="Y7" s="85"/>
      <c r="Z7" s="85"/>
      <c r="AA7" s="85"/>
      <c r="AB7" s="85"/>
      <c r="AC7" s="9">
        <f>SUM(T7:AB7)</f>
        <v>902.92</v>
      </c>
      <c r="AE7" s="9">
        <f>R7-AC7</f>
        <v>31624.080000000002</v>
      </c>
      <c r="AF7" s="47"/>
      <c r="AG7" s="47"/>
      <c r="AH7" s="6">
        <f>AE7+AF7-AG7</f>
        <v>31624.080000000002</v>
      </c>
    </row>
    <row r="8" spans="1:34" x14ac:dyDescent="0.25">
      <c r="A8" t="s">
        <v>132</v>
      </c>
      <c r="B8">
        <v>1105</v>
      </c>
      <c r="D8" s="9">
        <f>SUM(E8:Q8)</f>
        <v>11639531.33</v>
      </c>
      <c r="E8" s="69">
        <v>11463232.98</v>
      </c>
      <c r="F8" s="68"/>
      <c r="G8" s="79">
        <v>140679.84</v>
      </c>
      <c r="H8" s="68"/>
      <c r="I8" s="67">
        <v>10649.29</v>
      </c>
      <c r="J8" s="47">
        <v>3038.84</v>
      </c>
      <c r="K8" s="47"/>
      <c r="L8" s="67"/>
      <c r="M8" s="47">
        <v>6374.82</v>
      </c>
      <c r="N8" s="47"/>
      <c r="O8" s="47">
        <v>15555.56</v>
      </c>
      <c r="P8" s="47"/>
      <c r="Q8" s="47"/>
      <c r="R8" s="33">
        <f>SUM(E8:Q8)</f>
        <v>11639531.33</v>
      </c>
      <c r="T8" s="47">
        <v>-39078.74</v>
      </c>
      <c r="U8" s="85"/>
      <c r="V8" s="85"/>
      <c r="W8" s="85"/>
      <c r="X8" s="85"/>
      <c r="Y8" s="85"/>
      <c r="Z8" s="85"/>
      <c r="AA8" s="85"/>
      <c r="AB8" s="85"/>
      <c r="AC8" s="9">
        <f t="shared" ref="AC8:AC63" si="0">SUM(T8:AB8)</f>
        <v>-39078.74</v>
      </c>
      <c r="AE8" s="9">
        <f t="shared" ref="AE8:AE63" si="1">R8-AC8</f>
        <v>11678610.07</v>
      </c>
      <c r="AF8" s="47">
        <f>3009723.04</f>
        <v>3009723.04</v>
      </c>
      <c r="AG8" s="47"/>
      <c r="AH8" s="6">
        <f t="shared" ref="AH8:AH63" si="2">AE8+AF8-AG8</f>
        <v>14688333.109999999</v>
      </c>
    </row>
    <row r="9" spans="1:34" x14ac:dyDescent="0.25">
      <c r="A9" t="s">
        <v>133</v>
      </c>
      <c r="B9">
        <v>1135</v>
      </c>
      <c r="D9" s="9">
        <f t="shared" ref="D9:D63" si="3">SUM(E9:Q9)</f>
        <v>12000</v>
      </c>
      <c r="E9" s="68"/>
      <c r="F9" s="68"/>
      <c r="G9" s="68"/>
      <c r="H9" s="68"/>
      <c r="I9" s="67"/>
      <c r="J9" s="47"/>
      <c r="K9" s="47"/>
      <c r="L9" s="67"/>
      <c r="M9" s="47">
        <v>12000</v>
      </c>
      <c r="N9" s="47"/>
      <c r="O9" s="47"/>
      <c r="P9" s="47"/>
      <c r="Q9" s="47"/>
      <c r="R9" s="33">
        <f t="shared" ref="R9:R63" si="4">SUM(E9:Q9)</f>
        <v>12000</v>
      </c>
      <c r="T9" s="47">
        <v>474583.14</v>
      </c>
      <c r="U9" s="85"/>
      <c r="V9" s="85"/>
      <c r="W9" s="85"/>
      <c r="X9" s="85"/>
      <c r="Y9" s="85"/>
      <c r="Z9" s="85"/>
      <c r="AA9" s="85"/>
      <c r="AB9" s="85"/>
      <c r="AC9" s="9">
        <f t="shared" si="0"/>
        <v>474583.14</v>
      </c>
      <c r="AE9" s="9">
        <f t="shared" si="1"/>
        <v>-462583.14</v>
      </c>
      <c r="AF9" s="47">
        <v>267709.18</v>
      </c>
      <c r="AG9" s="47"/>
      <c r="AH9" s="6">
        <f t="shared" si="2"/>
        <v>-194873.96000000002</v>
      </c>
    </row>
    <row r="10" spans="1:34" x14ac:dyDescent="0.25">
      <c r="A10" t="s">
        <v>134</v>
      </c>
      <c r="B10">
        <v>1140</v>
      </c>
      <c r="D10" s="9">
        <f>SUM(E10:Q10)</f>
        <v>556898.26</v>
      </c>
      <c r="E10" s="68"/>
      <c r="F10" s="68"/>
      <c r="G10" s="68"/>
      <c r="H10" s="68"/>
      <c r="I10" s="67"/>
      <c r="J10" s="47"/>
      <c r="K10" s="47">
        <v>3040.25</v>
      </c>
      <c r="L10" s="67"/>
      <c r="M10" s="47">
        <v>552425.99</v>
      </c>
      <c r="N10" s="47"/>
      <c r="O10" s="47">
        <v>1432.02</v>
      </c>
      <c r="P10" s="47"/>
      <c r="Q10" s="47"/>
      <c r="R10" s="33">
        <f>SUM(E10:Q10)</f>
        <v>556898.26</v>
      </c>
      <c r="T10" s="47">
        <v>225857.64</v>
      </c>
      <c r="U10" s="85"/>
      <c r="V10" s="85"/>
      <c r="W10" s="85"/>
      <c r="X10" s="85"/>
      <c r="Y10" s="85"/>
      <c r="Z10" s="85"/>
      <c r="AA10" s="85"/>
      <c r="AB10" s="85"/>
      <c r="AC10" s="9">
        <f t="shared" si="0"/>
        <v>225857.64</v>
      </c>
      <c r="AE10" s="9">
        <f t="shared" si="1"/>
        <v>331040.62</v>
      </c>
      <c r="AF10" s="47"/>
      <c r="AG10" s="47"/>
      <c r="AH10" s="6">
        <f t="shared" si="2"/>
        <v>331040.62</v>
      </c>
    </row>
    <row r="11" spans="1:34" x14ac:dyDescent="0.25">
      <c r="A11" t="s">
        <v>135</v>
      </c>
      <c r="B11">
        <v>1145</v>
      </c>
      <c r="D11" s="9">
        <f t="shared" si="3"/>
        <v>14460.4</v>
      </c>
      <c r="E11" s="68"/>
      <c r="F11" s="68"/>
      <c r="G11" s="68"/>
      <c r="H11" s="68"/>
      <c r="I11" s="67"/>
      <c r="J11" s="47"/>
      <c r="K11" s="47"/>
      <c r="L11" s="67"/>
      <c r="M11" s="47">
        <v>14460.4</v>
      </c>
      <c r="N11" s="47"/>
      <c r="O11" s="47"/>
      <c r="P11" s="47"/>
      <c r="Q11" s="47"/>
      <c r="R11" s="33">
        <f t="shared" si="4"/>
        <v>14460.4</v>
      </c>
      <c r="T11" s="47">
        <v>357991.74</v>
      </c>
      <c r="U11" s="85"/>
      <c r="V11" s="85"/>
      <c r="W11" s="85"/>
      <c r="X11" s="85"/>
      <c r="Y11" s="85"/>
      <c r="Z11" s="85"/>
      <c r="AA11" s="85"/>
      <c r="AB11" s="85"/>
      <c r="AC11" s="9">
        <f t="shared" si="0"/>
        <v>357991.74</v>
      </c>
      <c r="AE11" s="9">
        <f t="shared" si="1"/>
        <v>-343531.33999999997</v>
      </c>
      <c r="AF11" s="47"/>
      <c r="AG11" s="47"/>
      <c r="AH11" s="6">
        <f t="shared" si="2"/>
        <v>-343531.33999999997</v>
      </c>
    </row>
    <row r="12" spans="1:34" x14ac:dyDescent="0.25">
      <c r="A12" t="s">
        <v>136</v>
      </c>
      <c r="B12">
        <v>1152</v>
      </c>
      <c r="D12" s="9">
        <f t="shared" si="3"/>
        <v>0</v>
      </c>
      <c r="E12" s="68"/>
      <c r="F12" s="68"/>
      <c r="G12" s="68"/>
      <c r="H12" s="68"/>
      <c r="I12" s="67"/>
      <c r="J12" s="47"/>
      <c r="K12" s="47"/>
      <c r="L12" s="67"/>
      <c r="M12" s="47"/>
      <c r="N12" s="47"/>
      <c r="O12" s="47"/>
      <c r="P12" s="47"/>
      <c r="Q12" s="47"/>
      <c r="R12" s="33">
        <f t="shared" si="4"/>
        <v>0</v>
      </c>
      <c r="T12" s="47">
        <v>29944.959999999999</v>
      </c>
      <c r="U12" s="85"/>
      <c r="V12" s="85"/>
      <c r="W12" s="85"/>
      <c r="X12" s="85"/>
      <c r="Y12" s="85"/>
      <c r="Z12" s="85"/>
      <c r="AA12" s="85"/>
      <c r="AB12" s="85"/>
      <c r="AC12" s="9">
        <f t="shared" si="0"/>
        <v>29944.959999999999</v>
      </c>
      <c r="AE12" s="9">
        <f t="shared" si="1"/>
        <v>-29944.959999999999</v>
      </c>
      <c r="AF12" s="47"/>
      <c r="AG12" s="47"/>
      <c r="AH12" s="6">
        <f t="shared" si="2"/>
        <v>-29944.959999999999</v>
      </c>
    </row>
    <row r="13" spans="1:34" x14ac:dyDescent="0.25">
      <c r="A13" t="s">
        <v>137</v>
      </c>
      <c r="B13">
        <v>1155</v>
      </c>
      <c r="D13" s="9">
        <f t="shared" si="3"/>
        <v>0</v>
      </c>
      <c r="E13" s="68"/>
      <c r="F13" s="68"/>
      <c r="G13" s="68"/>
      <c r="H13" s="68"/>
      <c r="I13" s="67"/>
      <c r="J13" s="47"/>
      <c r="K13" s="47"/>
      <c r="L13" s="67"/>
      <c r="M13" s="47"/>
      <c r="N13" s="47"/>
      <c r="O13" s="47"/>
      <c r="P13" s="47"/>
      <c r="Q13" s="47"/>
      <c r="R13" s="33">
        <f t="shared" si="4"/>
        <v>0</v>
      </c>
      <c r="T13" s="47">
        <v>471860.76</v>
      </c>
      <c r="U13" s="85"/>
      <c r="V13" s="85"/>
      <c r="W13" s="85"/>
      <c r="X13" s="85"/>
      <c r="Y13" s="85"/>
      <c r="Z13" s="85"/>
      <c r="AA13" s="85"/>
      <c r="AB13" s="85"/>
      <c r="AC13" s="9">
        <f t="shared" si="0"/>
        <v>471860.76</v>
      </c>
      <c r="AE13" s="9">
        <f t="shared" si="1"/>
        <v>-471860.76</v>
      </c>
      <c r="AF13" s="47">
        <v>213215.49</v>
      </c>
      <c r="AG13" s="47"/>
      <c r="AH13" s="6">
        <f t="shared" si="2"/>
        <v>-258645.27000000002</v>
      </c>
    </row>
    <row r="14" spans="1:34" x14ac:dyDescent="0.25">
      <c r="A14" t="s">
        <v>138</v>
      </c>
      <c r="B14">
        <v>1160</v>
      </c>
      <c r="D14" s="9">
        <f t="shared" si="3"/>
        <v>3000</v>
      </c>
      <c r="E14" s="68"/>
      <c r="F14" s="68"/>
      <c r="G14" s="68"/>
      <c r="H14" s="68"/>
      <c r="I14" s="67"/>
      <c r="J14" s="47"/>
      <c r="K14" s="47"/>
      <c r="L14" s="67"/>
      <c r="M14" s="47">
        <v>3000</v>
      </c>
      <c r="N14" s="47"/>
      <c r="O14" s="47"/>
      <c r="P14" s="47"/>
      <c r="Q14" s="47"/>
      <c r="R14" s="33">
        <f t="shared" si="4"/>
        <v>3000</v>
      </c>
      <c r="T14" s="47">
        <v>442691.96</v>
      </c>
      <c r="U14" s="85"/>
      <c r="V14" s="85"/>
      <c r="W14" s="85"/>
      <c r="X14" s="85"/>
      <c r="Y14" s="85"/>
      <c r="Z14" s="85"/>
      <c r="AA14" s="85"/>
      <c r="AB14" s="85"/>
      <c r="AC14" s="9">
        <f t="shared" si="0"/>
        <v>442691.96</v>
      </c>
      <c r="AE14" s="9">
        <f t="shared" si="1"/>
        <v>-439691.96</v>
      </c>
      <c r="AF14" s="47">
        <v>146489.59</v>
      </c>
      <c r="AG14" s="47"/>
      <c r="AH14" s="6">
        <f t="shared" si="2"/>
        <v>-293202.37</v>
      </c>
    </row>
    <row r="15" spans="1:34" x14ac:dyDescent="0.25">
      <c r="A15" t="s">
        <v>139</v>
      </c>
      <c r="B15">
        <v>1162</v>
      </c>
      <c r="D15" s="9">
        <f t="shared" si="3"/>
        <v>21450.76</v>
      </c>
      <c r="E15" s="68"/>
      <c r="F15" s="68"/>
      <c r="G15" s="68"/>
      <c r="H15" s="68"/>
      <c r="I15" s="67"/>
      <c r="J15" s="47"/>
      <c r="K15" s="47"/>
      <c r="L15" s="67">
        <v>21450.76</v>
      </c>
      <c r="M15" s="47"/>
      <c r="N15" s="47"/>
      <c r="O15" s="47"/>
      <c r="P15" s="47"/>
      <c r="Q15" s="47"/>
      <c r="R15" s="33">
        <f t="shared" si="4"/>
        <v>21450.76</v>
      </c>
      <c r="T15" s="47">
        <v>105012</v>
      </c>
      <c r="U15" s="85"/>
      <c r="V15" s="85"/>
      <c r="W15" s="85"/>
      <c r="X15" s="85"/>
      <c r="Y15" s="85"/>
      <c r="Z15" s="85"/>
      <c r="AA15" s="85"/>
      <c r="AB15" s="85"/>
      <c r="AC15" s="9">
        <f t="shared" si="0"/>
        <v>105012</v>
      </c>
      <c r="AE15" s="9">
        <f t="shared" si="1"/>
        <v>-83561.240000000005</v>
      </c>
      <c r="AF15" s="47"/>
      <c r="AG15" s="47"/>
      <c r="AH15" s="6">
        <f t="shared" si="2"/>
        <v>-83561.240000000005</v>
      </c>
    </row>
    <row r="16" spans="1:34" x14ac:dyDescent="0.25">
      <c r="A16" t="s">
        <v>140</v>
      </c>
      <c r="B16">
        <v>1164</v>
      </c>
      <c r="D16" s="9">
        <f t="shared" si="3"/>
        <v>0</v>
      </c>
      <c r="E16" s="68"/>
      <c r="F16" s="68"/>
      <c r="G16" s="68"/>
      <c r="H16" s="68"/>
      <c r="I16" s="67"/>
      <c r="J16" s="47"/>
      <c r="K16" s="47"/>
      <c r="L16" s="67"/>
      <c r="M16" s="47"/>
      <c r="N16" s="47"/>
      <c r="O16" s="47"/>
      <c r="P16" s="47"/>
      <c r="Q16" s="47"/>
      <c r="R16" s="33">
        <f t="shared" si="4"/>
        <v>0</v>
      </c>
      <c r="T16" s="47">
        <v>82806.23</v>
      </c>
      <c r="U16" s="85"/>
      <c r="V16" s="85"/>
      <c r="W16" s="85"/>
      <c r="X16" s="85"/>
      <c r="Y16" s="85"/>
      <c r="Z16" s="85"/>
      <c r="AA16" s="85"/>
      <c r="AB16" s="85"/>
      <c r="AC16" s="9">
        <f t="shared" si="0"/>
        <v>82806.23</v>
      </c>
      <c r="AE16" s="9">
        <f t="shared" si="1"/>
        <v>-82806.23</v>
      </c>
      <c r="AF16" s="47"/>
      <c r="AG16" s="47"/>
      <c r="AH16" s="6">
        <f t="shared" si="2"/>
        <v>-82806.23</v>
      </c>
    </row>
    <row r="17" spans="1:34" s="34" customFormat="1" x14ac:dyDescent="0.25">
      <c r="A17" s="34" t="s">
        <v>299</v>
      </c>
      <c r="B17" s="34">
        <v>1166</v>
      </c>
      <c r="C17" s="33"/>
      <c r="D17" s="33">
        <f t="shared" si="3"/>
        <v>0</v>
      </c>
      <c r="E17" s="68"/>
      <c r="F17" s="68"/>
      <c r="G17" s="68"/>
      <c r="H17" s="68"/>
      <c r="I17" s="67"/>
      <c r="J17" s="47"/>
      <c r="K17" s="47"/>
      <c r="L17" s="67"/>
      <c r="M17" s="47"/>
      <c r="N17" s="47"/>
      <c r="O17" s="47"/>
      <c r="P17" s="47"/>
      <c r="Q17" s="47"/>
      <c r="R17" s="33">
        <f t="shared" si="4"/>
        <v>0</v>
      </c>
      <c r="S17" s="33"/>
      <c r="T17" s="47">
        <v>1151.5</v>
      </c>
      <c r="U17" s="85"/>
      <c r="V17" s="85"/>
      <c r="W17" s="85"/>
      <c r="X17" s="85"/>
      <c r="Y17" s="85"/>
      <c r="Z17" s="85"/>
      <c r="AA17" s="85"/>
      <c r="AB17" s="85"/>
      <c r="AC17" s="33">
        <f t="shared" si="0"/>
        <v>1151.5</v>
      </c>
      <c r="AD17" s="33"/>
      <c r="AE17" s="33">
        <f t="shared" si="1"/>
        <v>-1151.5</v>
      </c>
      <c r="AF17" s="47"/>
      <c r="AG17" s="47"/>
      <c r="AH17" s="17">
        <f t="shared" si="2"/>
        <v>-1151.5</v>
      </c>
    </row>
    <row r="18" spans="1:34" x14ac:dyDescent="0.25">
      <c r="A18" t="s">
        <v>141</v>
      </c>
      <c r="B18" s="34">
        <v>1167</v>
      </c>
      <c r="D18" s="9">
        <f t="shared" si="3"/>
        <v>48805.7</v>
      </c>
      <c r="E18" s="68"/>
      <c r="F18" s="68"/>
      <c r="G18" s="68"/>
      <c r="H18" s="68"/>
      <c r="I18" s="67"/>
      <c r="J18" s="47"/>
      <c r="K18" s="47">
        <v>48805.7</v>
      </c>
      <c r="L18" s="67"/>
      <c r="M18" s="47"/>
      <c r="N18" s="47"/>
      <c r="O18" s="47"/>
      <c r="P18" s="47"/>
      <c r="Q18" s="47"/>
      <c r="R18" s="33">
        <f t="shared" si="4"/>
        <v>48805.7</v>
      </c>
      <c r="T18" s="47">
        <v>140965.23000000001</v>
      </c>
      <c r="U18" s="85"/>
      <c r="V18" s="85"/>
      <c r="W18" s="85"/>
      <c r="X18" s="85"/>
      <c r="Y18" s="85"/>
      <c r="Z18" s="85"/>
      <c r="AA18" s="85"/>
      <c r="AB18" s="85"/>
      <c r="AC18" s="9">
        <f t="shared" si="0"/>
        <v>140965.23000000001</v>
      </c>
      <c r="AE18" s="9">
        <f t="shared" si="1"/>
        <v>-92159.530000000013</v>
      </c>
      <c r="AF18" s="47"/>
      <c r="AG18" s="47"/>
      <c r="AH18" s="6">
        <f t="shared" si="2"/>
        <v>-92159.530000000013</v>
      </c>
    </row>
    <row r="19" spans="1:34" x14ac:dyDescent="0.25">
      <c r="A19" t="s">
        <v>142</v>
      </c>
      <c r="B19">
        <v>1168</v>
      </c>
      <c r="D19" s="9">
        <f t="shared" si="3"/>
        <v>6810</v>
      </c>
      <c r="E19" s="68"/>
      <c r="F19" s="68"/>
      <c r="G19" s="68"/>
      <c r="H19" s="68"/>
      <c r="I19" s="67"/>
      <c r="J19" s="47"/>
      <c r="K19" s="47"/>
      <c r="L19" s="67"/>
      <c r="M19" s="47">
        <v>6810</v>
      </c>
      <c r="N19" s="47"/>
      <c r="O19" s="47"/>
      <c r="P19" s="47"/>
      <c r="Q19" s="47"/>
      <c r="R19" s="33">
        <f t="shared" si="4"/>
        <v>6810</v>
      </c>
      <c r="T19" s="47">
        <v>102799.33</v>
      </c>
      <c r="U19" s="85"/>
      <c r="V19" s="85"/>
      <c r="W19" s="85"/>
      <c r="X19" s="85"/>
      <c r="Y19" s="85"/>
      <c r="Z19" s="85"/>
      <c r="AA19" s="85"/>
      <c r="AB19" s="85"/>
      <c r="AC19" s="9">
        <f t="shared" si="0"/>
        <v>102799.33</v>
      </c>
      <c r="AE19" s="9">
        <f t="shared" si="1"/>
        <v>-95989.33</v>
      </c>
      <c r="AF19" s="47"/>
      <c r="AG19" s="47"/>
      <c r="AH19" s="6">
        <f t="shared" si="2"/>
        <v>-95989.33</v>
      </c>
    </row>
    <row r="20" spans="1:34" x14ac:dyDescent="0.25">
      <c r="A20" t="s">
        <v>400</v>
      </c>
      <c r="B20">
        <v>1169</v>
      </c>
      <c r="D20" s="9">
        <f t="shared" si="3"/>
        <v>67652.63</v>
      </c>
      <c r="E20" s="68"/>
      <c r="F20" s="68"/>
      <c r="G20" s="68"/>
      <c r="H20" s="68"/>
      <c r="I20" s="67"/>
      <c r="J20" s="47"/>
      <c r="K20" s="47"/>
      <c r="L20" s="67">
        <v>67652.63</v>
      </c>
      <c r="M20" s="47"/>
      <c r="N20" s="47"/>
      <c r="O20" s="47"/>
      <c r="P20" s="47"/>
      <c r="Q20" s="47"/>
      <c r="R20" s="33">
        <f t="shared" si="4"/>
        <v>67652.63</v>
      </c>
      <c r="T20" s="47">
        <v>79906.429999999993</v>
      </c>
      <c r="U20" s="85"/>
      <c r="V20" s="85"/>
      <c r="W20" s="85"/>
      <c r="X20" s="85"/>
      <c r="Y20" s="85"/>
      <c r="Z20" s="85"/>
      <c r="AA20" s="85"/>
      <c r="AB20" s="85"/>
      <c r="AC20" s="9">
        <f t="shared" si="0"/>
        <v>79906.429999999993</v>
      </c>
      <c r="AE20" s="9">
        <f t="shared" si="1"/>
        <v>-12253.799999999988</v>
      </c>
      <c r="AF20" s="47"/>
      <c r="AG20" s="47"/>
      <c r="AH20" s="6">
        <f t="shared" si="2"/>
        <v>-12253.799999999988</v>
      </c>
    </row>
    <row r="21" spans="1:34" x14ac:dyDescent="0.25">
      <c r="A21" t="s">
        <v>143</v>
      </c>
      <c r="B21">
        <v>1171</v>
      </c>
      <c r="D21" s="9">
        <f t="shared" si="3"/>
        <v>0</v>
      </c>
      <c r="E21" s="68"/>
      <c r="F21" s="68"/>
      <c r="G21" s="68"/>
      <c r="H21" s="68"/>
      <c r="I21" s="67"/>
      <c r="J21" s="47"/>
      <c r="K21" s="47"/>
      <c r="L21" s="67"/>
      <c r="M21" s="47"/>
      <c r="N21" s="47"/>
      <c r="O21" s="47"/>
      <c r="P21" s="47"/>
      <c r="Q21" s="47"/>
      <c r="R21" s="33">
        <f t="shared" si="4"/>
        <v>0</v>
      </c>
      <c r="T21" s="47">
        <v>13330.87</v>
      </c>
      <c r="U21" s="85"/>
      <c r="V21" s="85"/>
      <c r="W21" s="85"/>
      <c r="X21" s="85"/>
      <c r="Y21" s="85"/>
      <c r="Z21" s="85"/>
      <c r="AA21" s="85"/>
      <c r="AB21" s="85"/>
      <c r="AC21" s="9">
        <f t="shared" si="0"/>
        <v>13330.87</v>
      </c>
      <c r="AE21" s="9">
        <f t="shared" si="1"/>
        <v>-13330.87</v>
      </c>
      <c r="AF21" s="47"/>
      <c r="AG21" s="47"/>
      <c r="AH21" s="6">
        <f t="shared" si="2"/>
        <v>-13330.87</v>
      </c>
    </row>
    <row r="22" spans="1:34" x14ac:dyDescent="0.25">
      <c r="A22" t="s">
        <v>144</v>
      </c>
      <c r="B22">
        <v>1200</v>
      </c>
      <c r="D22" s="9">
        <f t="shared" si="3"/>
        <v>42151.25</v>
      </c>
      <c r="E22" s="68"/>
      <c r="F22" s="68"/>
      <c r="G22" s="68"/>
      <c r="H22" s="68"/>
      <c r="I22" s="67"/>
      <c r="J22" s="47"/>
      <c r="K22" s="47">
        <v>-1156</v>
      </c>
      <c r="L22" s="67">
        <v>3392.73</v>
      </c>
      <c r="M22" s="122">
        <f>29771.61+2243.21-762.31</f>
        <v>31252.51</v>
      </c>
      <c r="N22" s="47">
        <f>10108.9-2243.21+762.31</f>
        <v>8628</v>
      </c>
      <c r="O22" s="47">
        <v>34.01</v>
      </c>
      <c r="P22" s="47"/>
      <c r="Q22" s="47"/>
      <c r="R22" s="33">
        <f t="shared" si="4"/>
        <v>42151.25</v>
      </c>
      <c r="T22" s="85"/>
      <c r="U22" s="47">
        <v>19822.599999999999</v>
      </c>
      <c r="V22" s="85"/>
      <c r="W22" s="85"/>
      <c r="X22" s="85"/>
      <c r="Y22" s="85"/>
      <c r="Z22" s="85"/>
      <c r="AA22" s="85"/>
      <c r="AB22" s="85"/>
      <c r="AC22" s="9">
        <f t="shared" si="0"/>
        <v>19822.599999999999</v>
      </c>
      <c r="AE22" s="9">
        <f t="shared" si="1"/>
        <v>22328.65</v>
      </c>
      <c r="AF22" s="47">
        <v>62217.8</v>
      </c>
      <c r="AG22" s="47"/>
      <c r="AH22" s="6">
        <f t="shared" si="2"/>
        <v>84546.450000000012</v>
      </c>
    </row>
    <row r="23" spans="1:34" x14ac:dyDescent="0.25">
      <c r="A23" t="s">
        <v>145</v>
      </c>
      <c r="B23">
        <v>1300</v>
      </c>
      <c r="D23" s="9">
        <f t="shared" si="3"/>
        <v>58684.83</v>
      </c>
      <c r="E23" s="68"/>
      <c r="F23" s="68"/>
      <c r="G23" s="68"/>
      <c r="H23" s="68"/>
      <c r="I23" s="67"/>
      <c r="J23" s="47"/>
      <c r="K23" s="47"/>
      <c r="L23" s="67">
        <v>58684.83</v>
      </c>
      <c r="M23" s="47"/>
      <c r="N23" s="47"/>
      <c r="O23" s="47"/>
      <c r="P23" s="47"/>
      <c r="Q23" s="47"/>
      <c r="R23" s="33">
        <f t="shared" si="4"/>
        <v>58684.83</v>
      </c>
      <c r="T23" s="85"/>
      <c r="U23" s="85"/>
      <c r="V23" s="47">
        <v>16280.36</v>
      </c>
      <c r="W23" s="85"/>
      <c r="X23" s="85"/>
      <c r="Y23" s="85"/>
      <c r="Z23" s="85"/>
      <c r="AA23" s="85"/>
      <c r="AB23" s="85"/>
      <c r="AC23" s="9">
        <f t="shared" si="0"/>
        <v>16280.36</v>
      </c>
      <c r="AE23" s="9">
        <f t="shared" si="1"/>
        <v>42404.47</v>
      </c>
      <c r="AF23" s="47"/>
      <c r="AG23" s="47"/>
      <c r="AH23" s="6">
        <f t="shared" si="2"/>
        <v>42404.47</v>
      </c>
    </row>
    <row r="24" spans="1:34" x14ac:dyDescent="0.25">
      <c r="A24" t="s">
        <v>146</v>
      </c>
      <c r="B24">
        <v>1400</v>
      </c>
      <c r="D24" s="9">
        <f t="shared" si="3"/>
        <v>-3256</v>
      </c>
      <c r="E24" s="68"/>
      <c r="F24" s="68"/>
      <c r="G24" s="68"/>
      <c r="H24" s="68"/>
      <c r="I24" s="67"/>
      <c r="J24" s="47"/>
      <c r="K24" s="47">
        <v>830</v>
      </c>
      <c r="L24" s="67"/>
      <c r="M24" s="47">
        <v>-4086</v>
      </c>
      <c r="N24" s="47"/>
      <c r="O24" s="47"/>
      <c r="P24" s="47"/>
      <c r="Q24" s="47"/>
      <c r="R24" s="33">
        <f t="shared" si="4"/>
        <v>-3256</v>
      </c>
      <c r="T24" s="85"/>
      <c r="U24" s="85"/>
      <c r="V24" s="85"/>
      <c r="W24" s="47">
        <v>519.78</v>
      </c>
      <c r="X24" s="85"/>
      <c r="Y24" s="85"/>
      <c r="Z24" s="85"/>
      <c r="AA24" s="85"/>
      <c r="AB24" s="85"/>
      <c r="AC24" s="9">
        <f t="shared" si="0"/>
        <v>519.78</v>
      </c>
      <c r="AE24" s="9">
        <f t="shared" si="1"/>
        <v>-3775.7799999999997</v>
      </c>
      <c r="AF24" s="47"/>
      <c r="AG24" s="47"/>
      <c r="AH24" s="6">
        <f t="shared" si="2"/>
        <v>-3775.7799999999997</v>
      </c>
    </row>
    <row r="25" spans="1:34" x14ac:dyDescent="0.25">
      <c r="A25" t="s">
        <v>147</v>
      </c>
      <c r="B25">
        <v>1500</v>
      </c>
      <c r="D25" s="9">
        <f t="shared" si="3"/>
        <v>0</v>
      </c>
      <c r="E25" s="68"/>
      <c r="F25" s="68"/>
      <c r="G25" s="68"/>
      <c r="H25" s="68"/>
      <c r="I25" s="67"/>
      <c r="J25" s="47"/>
      <c r="K25" s="47"/>
      <c r="L25" s="67"/>
      <c r="M25" s="47"/>
      <c r="N25" s="47"/>
      <c r="O25" s="47"/>
      <c r="P25" s="47"/>
      <c r="Q25" s="47"/>
      <c r="R25" s="33">
        <f t="shared" si="4"/>
        <v>0</v>
      </c>
      <c r="T25" s="85"/>
      <c r="U25" s="85"/>
      <c r="V25" s="85"/>
      <c r="W25" s="85"/>
      <c r="X25" s="47">
        <v>-542.96</v>
      </c>
      <c r="Y25" s="85"/>
      <c r="Z25" s="85"/>
      <c r="AA25" s="85"/>
      <c r="AB25" s="85"/>
      <c r="AC25" s="9">
        <f t="shared" si="0"/>
        <v>-542.96</v>
      </c>
      <c r="AE25" s="9">
        <f t="shared" si="1"/>
        <v>542.96</v>
      </c>
      <c r="AF25" s="47"/>
      <c r="AG25" s="47"/>
      <c r="AH25" s="6">
        <f t="shared" si="2"/>
        <v>542.96</v>
      </c>
    </row>
    <row r="26" spans="1:34" x14ac:dyDescent="0.25">
      <c r="A26" t="s">
        <v>226</v>
      </c>
      <c r="B26">
        <v>1600</v>
      </c>
      <c r="D26" s="9">
        <f t="shared" si="3"/>
        <v>17319.2</v>
      </c>
      <c r="E26" s="68"/>
      <c r="F26" s="68"/>
      <c r="G26" s="68"/>
      <c r="H26" s="68"/>
      <c r="I26" s="67"/>
      <c r="J26" s="47"/>
      <c r="K26" s="47">
        <f>1000-954</f>
        <v>46</v>
      </c>
      <c r="L26" s="67">
        <v>17273.2</v>
      </c>
      <c r="M26" s="47"/>
      <c r="N26" s="47"/>
      <c r="O26" s="47"/>
      <c r="P26" s="47"/>
      <c r="Q26" s="47"/>
      <c r="R26" s="33">
        <f t="shared" si="4"/>
        <v>17319.2</v>
      </c>
      <c r="T26" s="85"/>
      <c r="U26" s="85"/>
      <c r="V26" s="85"/>
      <c r="W26" s="85"/>
      <c r="X26" s="85"/>
      <c r="Y26" s="85"/>
      <c r="Z26" s="47"/>
      <c r="AA26" s="85"/>
      <c r="AB26" s="85"/>
      <c r="AC26" s="9">
        <f t="shared" si="0"/>
        <v>0</v>
      </c>
      <c r="AE26" s="9">
        <f t="shared" si="1"/>
        <v>17319.2</v>
      </c>
      <c r="AF26" s="47"/>
      <c r="AG26" s="47"/>
      <c r="AH26" s="6">
        <f t="shared" si="2"/>
        <v>17319.2</v>
      </c>
    </row>
    <row r="27" spans="1:34" x14ac:dyDescent="0.25">
      <c r="A27" t="s">
        <v>148</v>
      </c>
      <c r="B27">
        <v>1700</v>
      </c>
      <c r="D27" s="9">
        <f t="shared" si="3"/>
        <v>0</v>
      </c>
      <c r="E27" s="68"/>
      <c r="F27" s="68"/>
      <c r="G27" s="68"/>
      <c r="H27" s="68"/>
      <c r="I27" s="67"/>
      <c r="J27" s="47"/>
      <c r="K27" s="47"/>
      <c r="L27" s="67"/>
      <c r="M27" s="47"/>
      <c r="N27" s="47"/>
      <c r="O27" s="47"/>
      <c r="P27" s="47"/>
      <c r="Q27" s="47"/>
      <c r="R27" s="33">
        <f t="shared" si="4"/>
        <v>0</v>
      </c>
      <c r="T27" s="85"/>
      <c r="U27" s="85"/>
      <c r="V27" s="85"/>
      <c r="W27" s="85"/>
      <c r="X27" s="85"/>
      <c r="Y27" s="47">
        <v>695.59</v>
      </c>
      <c r="Z27" s="85"/>
      <c r="AA27" s="85"/>
      <c r="AB27" s="85"/>
      <c r="AC27" s="9">
        <f t="shared" si="0"/>
        <v>695.59</v>
      </c>
      <c r="AE27" s="9">
        <f t="shared" si="1"/>
        <v>-695.59</v>
      </c>
      <c r="AF27" s="47"/>
      <c r="AG27" s="47"/>
      <c r="AH27" s="6">
        <f t="shared" si="2"/>
        <v>-695.59</v>
      </c>
    </row>
    <row r="28" spans="1:34" x14ac:dyDescent="0.25">
      <c r="A28" t="s">
        <v>227</v>
      </c>
      <c r="D28" s="9">
        <f t="shared" si="3"/>
        <v>0</v>
      </c>
      <c r="E28" s="68"/>
      <c r="F28" s="68"/>
      <c r="G28" s="68"/>
      <c r="H28" s="68"/>
      <c r="I28" s="67"/>
      <c r="J28" s="47"/>
      <c r="K28" s="47"/>
      <c r="L28" s="67"/>
      <c r="M28" s="47"/>
      <c r="N28" s="47"/>
      <c r="O28" s="47"/>
      <c r="P28" s="47"/>
      <c r="Q28" s="47"/>
      <c r="R28" s="33">
        <f t="shared" si="4"/>
        <v>0</v>
      </c>
      <c r="T28" s="47"/>
      <c r="U28" s="85"/>
      <c r="V28" s="85"/>
      <c r="W28" s="85"/>
      <c r="X28" s="85"/>
      <c r="Y28" s="85"/>
      <c r="Z28" s="85"/>
      <c r="AA28" s="85"/>
      <c r="AB28" s="85"/>
      <c r="AC28" s="9">
        <f t="shared" si="0"/>
        <v>0</v>
      </c>
      <c r="AE28" s="9">
        <f t="shared" si="1"/>
        <v>0</v>
      </c>
      <c r="AF28" s="47"/>
      <c r="AG28" s="47"/>
      <c r="AH28" s="6">
        <f t="shared" si="2"/>
        <v>0</v>
      </c>
    </row>
    <row r="29" spans="1:34" x14ac:dyDescent="0.25">
      <c r="A29" t="s">
        <v>149</v>
      </c>
      <c r="B29">
        <v>1905</v>
      </c>
      <c r="D29" s="9">
        <f t="shared" si="3"/>
        <v>0</v>
      </c>
      <c r="E29" s="68"/>
      <c r="F29" s="68"/>
      <c r="G29" s="68"/>
      <c r="H29" s="68"/>
      <c r="I29" s="67"/>
      <c r="J29" s="47"/>
      <c r="K29" s="47"/>
      <c r="L29" s="67"/>
      <c r="M29" s="47"/>
      <c r="N29" s="47"/>
      <c r="O29" s="47"/>
      <c r="P29" s="47"/>
      <c r="Q29" s="47"/>
      <c r="R29" s="33">
        <f t="shared" si="4"/>
        <v>0</v>
      </c>
      <c r="T29" s="85"/>
      <c r="U29" s="85"/>
      <c r="V29" s="85"/>
      <c r="W29" s="85"/>
      <c r="X29" s="85"/>
      <c r="Y29" s="85"/>
      <c r="Z29" s="85"/>
      <c r="AA29" s="85"/>
      <c r="AB29" s="47"/>
      <c r="AC29" s="9">
        <f t="shared" si="0"/>
        <v>0</v>
      </c>
      <c r="AE29" s="9">
        <f t="shared" si="1"/>
        <v>0</v>
      </c>
      <c r="AF29" s="47"/>
      <c r="AG29" s="47">
        <v>699150</v>
      </c>
      <c r="AH29" s="6">
        <f t="shared" si="2"/>
        <v>-699150</v>
      </c>
    </row>
    <row r="30" spans="1:34" x14ac:dyDescent="0.25">
      <c r="A30" t="s">
        <v>150</v>
      </c>
      <c r="B30">
        <v>2205</v>
      </c>
      <c r="D30" s="9">
        <f t="shared" si="3"/>
        <v>132736.71</v>
      </c>
      <c r="E30" s="68"/>
      <c r="F30" s="68"/>
      <c r="G30" s="68"/>
      <c r="H30" s="68"/>
      <c r="I30" s="67"/>
      <c r="J30" s="47"/>
      <c r="K30" s="47"/>
      <c r="L30" s="67">
        <v>91099</v>
      </c>
      <c r="M30" s="47">
        <f>6672+34965.71</f>
        <v>41637.71</v>
      </c>
      <c r="N30" s="47"/>
      <c r="O30" s="47"/>
      <c r="P30" s="47"/>
      <c r="Q30" s="47"/>
      <c r="R30" s="33">
        <f t="shared" si="4"/>
        <v>132736.71</v>
      </c>
      <c r="T30" s="85"/>
      <c r="U30" s="47">
        <v>635608.04</v>
      </c>
      <c r="V30" s="85"/>
      <c r="W30" s="85"/>
      <c r="X30" s="85"/>
      <c r="Y30" s="85"/>
      <c r="Z30" s="85"/>
      <c r="AA30" s="85"/>
      <c r="AB30" s="85"/>
      <c r="AC30" s="9">
        <f t="shared" si="0"/>
        <v>635608.04</v>
      </c>
      <c r="AE30" s="9">
        <f t="shared" si="1"/>
        <v>-502871.33000000007</v>
      </c>
      <c r="AF30" s="47"/>
      <c r="AG30" s="47">
        <v>120</v>
      </c>
      <c r="AH30" s="6">
        <f t="shared" si="2"/>
        <v>-502991.33000000007</v>
      </c>
    </row>
    <row r="31" spans="1:34" x14ac:dyDescent="0.25">
      <c r="A31" t="s">
        <v>151</v>
      </c>
      <c r="B31">
        <v>2210</v>
      </c>
      <c r="D31" s="9">
        <f t="shared" si="3"/>
        <v>24832.43</v>
      </c>
      <c r="E31" s="68"/>
      <c r="F31" s="68"/>
      <c r="G31" s="68"/>
      <c r="H31" s="68"/>
      <c r="I31" s="67"/>
      <c r="J31" s="47"/>
      <c r="K31" s="47">
        <v>211.25</v>
      </c>
      <c r="L31" s="67"/>
      <c r="M31" s="47">
        <v>24621.18</v>
      </c>
      <c r="N31" s="47"/>
      <c r="O31" s="47"/>
      <c r="P31" s="47"/>
      <c r="Q31" s="47"/>
      <c r="R31" s="33">
        <f t="shared" si="4"/>
        <v>24832.43</v>
      </c>
      <c r="T31" s="85"/>
      <c r="U31" s="47">
        <v>494426.45</v>
      </c>
      <c r="V31" s="85"/>
      <c r="W31" s="85"/>
      <c r="X31" s="85"/>
      <c r="Y31" s="85"/>
      <c r="Z31" s="85"/>
      <c r="AA31" s="85"/>
      <c r="AB31" s="85"/>
      <c r="AC31" s="9">
        <f t="shared" si="0"/>
        <v>494426.45</v>
      </c>
      <c r="AE31" s="9">
        <f t="shared" si="1"/>
        <v>-469594.02</v>
      </c>
      <c r="AF31" s="47">
        <v>336387.45</v>
      </c>
      <c r="AG31" s="47">
        <v>280</v>
      </c>
      <c r="AH31" s="6">
        <f t="shared" si="2"/>
        <v>-133486.57</v>
      </c>
    </row>
    <row r="32" spans="1:34" x14ac:dyDescent="0.25">
      <c r="A32" t="s">
        <v>152</v>
      </c>
      <c r="B32">
        <v>2215</v>
      </c>
      <c r="D32" s="9">
        <f t="shared" si="3"/>
        <v>0</v>
      </c>
      <c r="E32" s="68"/>
      <c r="F32" s="68"/>
      <c r="G32" s="68"/>
      <c r="H32" s="68"/>
      <c r="I32" s="67"/>
      <c r="J32" s="47"/>
      <c r="K32" s="47"/>
      <c r="L32" s="67"/>
      <c r="M32" s="47"/>
      <c r="N32" s="47"/>
      <c r="O32" s="47"/>
      <c r="P32" s="47"/>
      <c r="Q32" s="47"/>
      <c r="R32" s="33">
        <f t="shared" si="4"/>
        <v>0</v>
      </c>
      <c r="T32" s="85"/>
      <c r="U32" s="47">
        <v>45359.17</v>
      </c>
      <c r="V32" s="85"/>
      <c r="W32" s="85"/>
      <c r="X32" s="85"/>
      <c r="Y32" s="85"/>
      <c r="Z32" s="85"/>
      <c r="AA32" s="85"/>
      <c r="AB32" s="85"/>
      <c r="AC32" s="9">
        <f t="shared" si="0"/>
        <v>45359.17</v>
      </c>
      <c r="AE32" s="9">
        <f t="shared" si="1"/>
        <v>-45359.17</v>
      </c>
      <c r="AF32" s="47"/>
      <c r="AG32" s="47"/>
      <c r="AH32" s="6">
        <f t="shared" si="2"/>
        <v>-45359.17</v>
      </c>
    </row>
    <row r="33" spans="1:34" x14ac:dyDescent="0.25">
      <c r="A33" t="s">
        <v>153</v>
      </c>
      <c r="B33">
        <v>2225</v>
      </c>
      <c r="D33" s="9">
        <f t="shared" si="3"/>
        <v>48832</v>
      </c>
      <c r="E33" s="68"/>
      <c r="F33" s="68"/>
      <c r="G33" s="68"/>
      <c r="H33" s="68"/>
      <c r="I33" s="67"/>
      <c r="J33" s="47"/>
      <c r="K33" s="47"/>
      <c r="L33" s="67">
        <v>739.02</v>
      </c>
      <c r="M33" s="47">
        <v>48092.98</v>
      </c>
      <c r="N33" s="47"/>
      <c r="O33" s="47"/>
      <c r="P33" s="47"/>
      <c r="Q33" s="47"/>
      <c r="R33" s="33">
        <f t="shared" si="4"/>
        <v>48832</v>
      </c>
      <c r="T33" s="85"/>
      <c r="U33" s="47">
        <v>129625.13</v>
      </c>
      <c r="V33" s="85"/>
      <c r="W33" s="85"/>
      <c r="X33" s="85"/>
      <c r="Y33" s="85"/>
      <c r="Z33" s="85"/>
      <c r="AA33" s="85"/>
      <c r="AB33" s="85"/>
      <c r="AC33" s="9">
        <f t="shared" si="0"/>
        <v>129625.13</v>
      </c>
      <c r="AE33" s="9">
        <f t="shared" si="1"/>
        <v>-80793.13</v>
      </c>
      <c r="AF33" s="47"/>
      <c r="AG33" s="47"/>
      <c r="AH33" s="6">
        <f t="shared" si="2"/>
        <v>-80793.13</v>
      </c>
    </row>
    <row r="34" spans="1:34" x14ac:dyDescent="0.25">
      <c r="A34" t="s">
        <v>154</v>
      </c>
      <c r="B34">
        <v>2230</v>
      </c>
      <c r="D34" s="9">
        <f t="shared" si="3"/>
        <v>0</v>
      </c>
      <c r="E34" s="68"/>
      <c r="F34" s="68"/>
      <c r="G34" s="68"/>
      <c r="H34" s="68"/>
      <c r="I34" s="67"/>
      <c r="J34" s="47"/>
      <c r="K34" s="47"/>
      <c r="L34" s="67"/>
      <c r="M34" s="47"/>
      <c r="N34" s="47"/>
      <c r="O34" s="47"/>
      <c r="P34" s="47"/>
      <c r="Q34" s="47"/>
      <c r="R34" s="33">
        <f t="shared" si="4"/>
        <v>0</v>
      </c>
      <c r="T34" s="85"/>
      <c r="U34" s="47"/>
      <c r="V34" s="85"/>
      <c r="W34" s="85"/>
      <c r="X34" s="85"/>
      <c r="Y34" s="85"/>
      <c r="Z34" s="85"/>
      <c r="AA34" s="85"/>
      <c r="AB34" s="85"/>
      <c r="AC34" s="9">
        <f t="shared" si="0"/>
        <v>0</v>
      </c>
      <c r="AE34" s="9">
        <f t="shared" si="1"/>
        <v>0</v>
      </c>
      <c r="AF34" s="47"/>
      <c r="AG34" s="47"/>
      <c r="AH34" s="6">
        <f t="shared" si="2"/>
        <v>0</v>
      </c>
    </row>
    <row r="35" spans="1:34" x14ac:dyDescent="0.25">
      <c r="A35" t="s">
        <v>401</v>
      </c>
      <c r="B35">
        <v>2235</v>
      </c>
      <c r="D35" s="9">
        <f t="shared" si="3"/>
        <v>49208.56</v>
      </c>
      <c r="E35" s="68"/>
      <c r="F35" s="68"/>
      <c r="G35" s="68"/>
      <c r="H35" s="68"/>
      <c r="I35" s="67"/>
      <c r="J35" s="47"/>
      <c r="K35" s="47"/>
      <c r="L35" s="67"/>
      <c r="M35" s="47">
        <v>49208.56</v>
      </c>
      <c r="N35" s="47"/>
      <c r="O35" s="47"/>
      <c r="P35" s="47"/>
      <c r="Q35" s="47"/>
      <c r="R35" s="33">
        <f t="shared" si="4"/>
        <v>49208.56</v>
      </c>
      <c r="T35" s="85"/>
      <c r="U35" s="47">
        <v>132934.14000000001</v>
      </c>
      <c r="V35" s="85"/>
      <c r="W35" s="85"/>
      <c r="X35" s="85"/>
      <c r="Y35" s="85"/>
      <c r="Z35" s="85"/>
      <c r="AA35" s="85"/>
      <c r="AB35" s="85"/>
      <c r="AC35" s="9">
        <f t="shared" si="0"/>
        <v>132934.14000000001</v>
      </c>
      <c r="AE35" s="9">
        <f t="shared" si="1"/>
        <v>-83725.580000000016</v>
      </c>
      <c r="AF35" s="47"/>
      <c r="AG35" s="47"/>
      <c r="AH35" s="6">
        <f t="shared" si="2"/>
        <v>-83725.580000000016</v>
      </c>
    </row>
    <row r="36" spans="1:34" x14ac:dyDescent="0.25">
      <c r="A36" t="s">
        <v>402</v>
      </c>
      <c r="B36">
        <v>2240</v>
      </c>
      <c r="D36" s="9">
        <f t="shared" si="3"/>
        <v>76872.179999999993</v>
      </c>
      <c r="E36" s="68"/>
      <c r="F36" s="68"/>
      <c r="G36" s="68"/>
      <c r="H36" s="68"/>
      <c r="I36" s="67"/>
      <c r="J36" s="47"/>
      <c r="K36" s="47"/>
      <c r="L36" s="67"/>
      <c r="M36" s="47">
        <v>76872.179999999993</v>
      </c>
      <c r="N36" s="47"/>
      <c r="O36" s="47"/>
      <c r="P36" s="47"/>
      <c r="Q36" s="47"/>
      <c r="R36" s="33">
        <f t="shared" si="4"/>
        <v>76872.179999999993</v>
      </c>
      <c r="T36" s="85"/>
      <c r="U36" s="47">
        <v>159419.35</v>
      </c>
      <c r="V36" s="85"/>
      <c r="W36" s="85"/>
      <c r="X36" s="85"/>
      <c r="Y36" s="85"/>
      <c r="Z36" s="85"/>
      <c r="AA36" s="85"/>
      <c r="AB36" s="85"/>
      <c r="AC36" s="9">
        <f t="shared" si="0"/>
        <v>159419.35</v>
      </c>
      <c r="AE36" s="9">
        <f t="shared" si="1"/>
        <v>-82547.170000000013</v>
      </c>
      <c r="AF36" s="47"/>
      <c r="AG36" s="47"/>
      <c r="AH36" s="6">
        <f t="shared" si="2"/>
        <v>-82547.170000000013</v>
      </c>
    </row>
    <row r="37" spans="1:34" x14ac:dyDescent="0.25">
      <c r="A37" t="s">
        <v>155</v>
      </c>
      <c r="B37">
        <v>2310</v>
      </c>
      <c r="D37" s="9">
        <f t="shared" si="3"/>
        <v>290247.64999999997</v>
      </c>
      <c r="E37" s="68"/>
      <c r="F37" s="68"/>
      <c r="G37" s="68"/>
      <c r="H37" s="68"/>
      <c r="I37" s="67"/>
      <c r="J37" s="47"/>
      <c r="K37" s="47">
        <v>233.44</v>
      </c>
      <c r="L37" s="67">
        <v>35801.89</v>
      </c>
      <c r="M37" s="47">
        <f>2998.05+192109.27</f>
        <v>195107.31999999998</v>
      </c>
      <c r="N37" s="47">
        <f>251214.27-192109.27</f>
        <v>59105</v>
      </c>
      <c r="O37" s="47"/>
      <c r="P37" s="47"/>
      <c r="Q37" s="47"/>
      <c r="R37" s="33">
        <f t="shared" si="4"/>
        <v>290247.64999999997</v>
      </c>
      <c r="T37" s="85"/>
      <c r="U37" s="85"/>
      <c r="V37" s="47">
        <v>667876.57999999996</v>
      </c>
      <c r="W37" s="85"/>
      <c r="X37" s="85"/>
      <c r="Y37" s="85"/>
      <c r="Z37" s="85"/>
      <c r="AA37" s="85"/>
      <c r="AB37" s="85"/>
      <c r="AC37" s="9">
        <f t="shared" si="0"/>
        <v>667876.57999999996</v>
      </c>
      <c r="AE37" s="9">
        <f t="shared" si="1"/>
        <v>-377628.93</v>
      </c>
      <c r="AF37" s="47"/>
      <c r="AG37" s="47"/>
      <c r="AH37" s="6">
        <f t="shared" si="2"/>
        <v>-377628.93</v>
      </c>
    </row>
    <row r="38" spans="1:34" x14ac:dyDescent="0.25">
      <c r="A38" t="s">
        <v>156</v>
      </c>
      <c r="B38">
        <v>2311</v>
      </c>
      <c r="D38" s="9">
        <f t="shared" si="3"/>
        <v>147085.10999999999</v>
      </c>
      <c r="E38" s="68"/>
      <c r="F38" s="68"/>
      <c r="G38" s="68"/>
      <c r="H38" s="68"/>
      <c r="I38" s="67"/>
      <c r="J38" s="47"/>
      <c r="K38" s="47">
        <v>350.52</v>
      </c>
      <c r="L38" s="67">
        <v>142463.07</v>
      </c>
      <c r="M38" s="47"/>
      <c r="N38" s="47">
        <v>4271.5200000000004</v>
      </c>
      <c r="O38" s="47"/>
      <c r="P38" s="47"/>
      <c r="Q38" s="47"/>
      <c r="R38" s="33">
        <f t="shared" si="4"/>
        <v>147085.10999999999</v>
      </c>
      <c r="T38" s="85"/>
      <c r="U38" s="85"/>
      <c r="V38" s="47">
        <v>489601.68</v>
      </c>
      <c r="W38" s="85"/>
      <c r="X38" s="85"/>
      <c r="Y38" s="85"/>
      <c r="Z38" s="85"/>
      <c r="AA38" s="85"/>
      <c r="AB38" s="85"/>
      <c r="AC38" s="9">
        <f t="shared" si="0"/>
        <v>489601.68</v>
      </c>
      <c r="AE38" s="9">
        <f t="shared" si="1"/>
        <v>-342516.57</v>
      </c>
      <c r="AF38" s="47">
        <v>1176.5</v>
      </c>
      <c r="AG38" s="47"/>
      <c r="AH38" s="6">
        <f t="shared" si="2"/>
        <v>-341340.07</v>
      </c>
    </row>
    <row r="39" spans="1:34" x14ac:dyDescent="0.25">
      <c r="A39" t="s">
        <v>157</v>
      </c>
      <c r="B39">
        <v>3305</v>
      </c>
      <c r="D39" s="9">
        <f t="shared" si="3"/>
        <v>183096.06</v>
      </c>
      <c r="E39" s="68"/>
      <c r="F39" s="68"/>
      <c r="G39" s="68"/>
      <c r="H39" s="68"/>
      <c r="I39" s="67"/>
      <c r="J39" s="47"/>
      <c r="K39" s="47">
        <f>48153.83+99353.98</f>
        <v>147507.81</v>
      </c>
      <c r="L39" s="67"/>
      <c r="M39" s="47">
        <v>35256.25</v>
      </c>
      <c r="N39" s="47">
        <v>332</v>
      </c>
      <c r="O39" s="47"/>
      <c r="P39" s="47"/>
      <c r="Q39" s="47"/>
      <c r="R39" s="33">
        <f t="shared" si="4"/>
        <v>183096.06</v>
      </c>
      <c r="T39" s="85"/>
      <c r="U39" s="85"/>
      <c r="V39" s="47">
        <v>3197916.88</v>
      </c>
      <c r="W39" s="85"/>
      <c r="X39" s="85"/>
      <c r="Y39" s="85"/>
      <c r="Z39" s="85"/>
      <c r="AA39" s="85"/>
      <c r="AB39" s="85"/>
      <c r="AC39" s="9">
        <f t="shared" si="0"/>
        <v>3197916.88</v>
      </c>
      <c r="AE39" s="9">
        <f t="shared" si="1"/>
        <v>-3014820.82</v>
      </c>
      <c r="AF39" s="122">
        <f>177286.86-99354</f>
        <v>77932.859999999986</v>
      </c>
      <c r="AG39" s="47"/>
      <c r="AH39" s="6">
        <f t="shared" si="2"/>
        <v>-2936887.96</v>
      </c>
    </row>
    <row r="40" spans="1:34" x14ac:dyDescent="0.25">
      <c r="A40" t="s">
        <v>159</v>
      </c>
      <c r="B40">
        <v>4315</v>
      </c>
      <c r="D40" s="9">
        <f t="shared" si="3"/>
        <v>0</v>
      </c>
      <c r="E40" s="68"/>
      <c r="F40" s="68"/>
      <c r="G40" s="68"/>
      <c r="H40" s="68"/>
      <c r="I40" s="67"/>
      <c r="J40" s="47"/>
      <c r="K40" s="47"/>
      <c r="L40" s="67"/>
      <c r="M40" s="47"/>
      <c r="N40" s="47"/>
      <c r="O40" s="47"/>
      <c r="P40" s="47"/>
      <c r="Q40" s="47"/>
      <c r="R40" s="33">
        <f t="shared" si="4"/>
        <v>0</v>
      </c>
      <c r="T40" s="85"/>
      <c r="U40" s="85"/>
      <c r="V40" s="47">
        <v>31715.06</v>
      </c>
      <c r="W40" s="85"/>
      <c r="X40" s="85"/>
      <c r="Y40" s="85"/>
      <c r="Z40" s="85"/>
      <c r="AA40" s="85"/>
      <c r="AB40" s="85"/>
      <c r="AC40" s="9">
        <f t="shared" si="0"/>
        <v>31715.06</v>
      </c>
      <c r="AE40" s="9">
        <f t="shared" si="1"/>
        <v>-31715.06</v>
      </c>
      <c r="AF40" s="47"/>
      <c r="AG40" s="47"/>
      <c r="AH40" s="6">
        <f t="shared" si="2"/>
        <v>-31715.06</v>
      </c>
    </row>
    <row r="41" spans="1:34" x14ac:dyDescent="0.25">
      <c r="A41" t="s">
        <v>158</v>
      </c>
      <c r="B41">
        <v>4320</v>
      </c>
      <c r="D41" s="9">
        <f t="shared" si="3"/>
        <v>318240.88</v>
      </c>
      <c r="E41" s="68"/>
      <c r="F41" s="68"/>
      <c r="G41" s="68"/>
      <c r="H41" s="68"/>
      <c r="I41" s="67"/>
      <c r="J41" s="47"/>
      <c r="K41" s="47"/>
      <c r="L41" s="67">
        <v>318240.88</v>
      </c>
      <c r="M41" s="47"/>
      <c r="N41" s="47"/>
      <c r="O41" s="47"/>
      <c r="P41" s="47"/>
      <c r="Q41" s="47"/>
      <c r="R41" s="33">
        <f t="shared" si="4"/>
        <v>318240.88</v>
      </c>
      <c r="T41" s="85"/>
      <c r="U41" s="85"/>
      <c r="V41" s="47">
        <v>452822.61</v>
      </c>
      <c r="W41" s="85"/>
      <c r="X41" s="85"/>
      <c r="Y41" s="85"/>
      <c r="Z41" s="85"/>
      <c r="AA41" s="85"/>
      <c r="AB41" s="85"/>
      <c r="AC41" s="9">
        <f t="shared" si="0"/>
        <v>452822.61</v>
      </c>
      <c r="AE41" s="9">
        <f t="shared" si="1"/>
        <v>-134581.72999999998</v>
      </c>
      <c r="AF41" s="47"/>
      <c r="AG41" s="47"/>
      <c r="AH41" s="6">
        <f t="shared" si="2"/>
        <v>-134581.72999999998</v>
      </c>
    </row>
    <row r="42" spans="1:34" x14ac:dyDescent="0.25">
      <c r="A42" t="s">
        <v>160</v>
      </c>
      <c r="B42">
        <v>4325</v>
      </c>
      <c r="D42" s="9">
        <f t="shared" si="3"/>
        <v>0</v>
      </c>
      <c r="E42" s="68"/>
      <c r="F42" s="68"/>
      <c r="G42" s="68"/>
      <c r="H42" s="68"/>
      <c r="I42" s="67"/>
      <c r="J42" s="47"/>
      <c r="K42" s="47"/>
      <c r="L42" s="67"/>
      <c r="M42" s="47"/>
      <c r="N42" s="47"/>
      <c r="O42" s="47"/>
      <c r="P42" s="47"/>
      <c r="Q42" s="47"/>
      <c r="R42" s="33">
        <f t="shared" si="4"/>
        <v>0</v>
      </c>
      <c r="T42" s="85"/>
      <c r="U42" s="85"/>
      <c r="V42" s="47">
        <v>3513.62</v>
      </c>
      <c r="W42" s="85"/>
      <c r="X42" s="85"/>
      <c r="Y42" s="85"/>
      <c r="Z42" s="85"/>
      <c r="AA42" s="85"/>
      <c r="AB42" s="85"/>
      <c r="AC42" s="9">
        <f t="shared" si="0"/>
        <v>3513.62</v>
      </c>
      <c r="AE42" s="9">
        <f t="shared" si="1"/>
        <v>-3513.62</v>
      </c>
      <c r="AF42" s="47"/>
      <c r="AG42" s="47"/>
      <c r="AH42" s="6">
        <f t="shared" si="2"/>
        <v>-3513.62</v>
      </c>
    </row>
    <row r="43" spans="1:34" x14ac:dyDescent="0.25">
      <c r="A43" t="s">
        <v>161</v>
      </c>
      <c r="B43">
        <v>4405</v>
      </c>
      <c r="D43" s="9">
        <f t="shared" si="3"/>
        <v>273132</v>
      </c>
      <c r="E43" s="68"/>
      <c r="F43" s="68"/>
      <c r="G43" s="68"/>
      <c r="H43" s="68"/>
      <c r="I43" s="67"/>
      <c r="J43" s="47"/>
      <c r="K43" s="47"/>
      <c r="L43" s="67"/>
      <c r="M43" s="47">
        <f>45841.04+227290.96</f>
        <v>273132</v>
      </c>
      <c r="N43" s="47"/>
      <c r="O43" s="47"/>
      <c r="P43" s="47"/>
      <c r="Q43" s="47"/>
      <c r="R43" s="33">
        <f t="shared" si="4"/>
        <v>273132</v>
      </c>
      <c r="T43" s="85"/>
      <c r="U43" s="85"/>
      <c r="V43" s="85"/>
      <c r="W43" s="47">
        <v>527057.31999999995</v>
      </c>
      <c r="X43" s="85"/>
      <c r="Y43" s="85"/>
      <c r="Z43" s="85"/>
      <c r="AA43" s="85"/>
      <c r="AB43" s="85"/>
      <c r="AC43" s="9">
        <f t="shared" si="0"/>
        <v>527057.31999999995</v>
      </c>
      <c r="AE43" s="9">
        <f t="shared" si="1"/>
        <v>-253925.31999999995</v>
      </c>
      <c r="AF43" s="47">
        <v>150000</v>
      </c>
      <c r="AG43" s="47"/>
      <c r="AH43" s="6">
        <f t="shared" si="2"/>
        <v>-103925.31999999995</v>
      </c>
    </row>
    <row r="44" spans="1:34" x14ac:dyDescent="0.25">
      <c r="A44" t="s">
        <v>162</v>
      </c>
      <c r="B44">
        <v>5505</v>
      </c>
      <c r="D44" s="9">
        <f t="shared" si="3"/>
        <v>0</v>
      </c>
      <c r="E44" s="68"/>
      <c r="F44" s="68"/>
      <c r="G44" s="68"/>
      <c r="H44" s="68"/>
      <c r="I44" s="67"/>
      <c r="J44" s="47"/>
      <c r="K44" s="47"/>
      <c r="L44" s="67"/>
      <c r="M44" s="47"/>
      <c r="N44" s="47"/>
      <c r="O44" s="47"/>
      <c r="P44" s="47"/>
      <c r="Q44" s="47"/>
      <c r="R44" s="33">
        <f t="shared" si="4"/>
        <v>0</v>
      </c>
      <c r="T44" s="85"/>
      <c r="U44" s="85"/>
      <c r="V44" s="85"/>
      <c r="W44" s="85"/>
      <c r="X44" s="47">
        <v>27952</v>
      </c>
      <c r="Y44" s="85"/>
      <c r="Z44" s="85"/>
      <c r="AA44" s="85"/>
      <c r="AB44" s="85"/>
      <c r="AC44" s="9">
        <f t="shared" si="0"/>
        <v>27952</v>
      </c>
      <c r="AE44" s="9">
        <f t="shared" si="1"/>
        <v>-27952</v>
      </c>
      <c r="AF44" s="47">
        <v>266174.21999999997</v>
      </c>
      <c r="AG44" s="47">
        <v>1517053.51</v>
      </c>
      <c r="AH44" s="6">
        <f t="shared" si="2"/>
        <v>-1278831.29</v>
      </c>
    </row>
    <row r="45" spans="1:34" x14ac:dyDescent="0.25">
      <c r="A45" t="s">
        <v>163</v>
      </c>
      <c r="B45">
        <v>5507</v>
      </c>
      <c r="D45" s="9">
        <f t="shared" si="3"/>
        <v>5500</v>
      </c>
      <c r="E45" s="68"/>
      <c r="F45" s="68"/>
      <c r="G45" s="68"/>
      <c r="H45" s="68"/>
      <c r="I45" s="67"/>
      <c r="J45" s="47"/>
      <c r="K45" s="47">
        <v>5500</v>
      </c>
      <c r="L45" s="67"/>
      <c r="M45" s="47"/>
      <c r="N45" s="47"/>
      <c r="O45" s="47"/>
      <c r="P45" s="47"/>
      <c r="Q45" s="47"/>
      <c r="R45" s="33">
        <f t="shared" si="4"/>
        <v>5500</v>
      </c>
      <c r="T45" s="47"/>
      <c r="U45" s="85"/>
      <c r="V45" s="85"/>
      <c r="W45" s="85"/>
      <c r="X45" s="47">
        <v>97921.9</v>
      </c>
      <c r="Y45" s="85"/>
      <c r="Z45" s="85"/>
      <c r="AA45" s="85"/>
      <c r="AB45" s="85"/>
      <c r="AC45" s="9">
        <f t="shared" si="0"/>
        <v>97921.9</v>
      </c>
      <c r="AE45" s="9">
        <f t="shared" si="1"/>
        <v>-92421.9</v>
      </c>
      <c r="AF45" s="47"/>
      <c r="AG45" s="47">
        <v>586.05999999999995</v>
      </c>
      <c r="AH45" s="6">
        <f t="shared" si="2"/>
        <v>-93007.959999999992</v>
      </c>
    </row>
    <row r="46" spans="1:34" x14ac:dyDescent="0.25">
      <c r="A46" t="s">
        <v>164</v>
      </c>
      <c r="B46">
        <v>8175</v>
      </c>
      <c r="D46" s="9">
        <f t="shared" si="3"/>
        <v>45449.68</v>
      </c>
      <c r="E46" s="68"/>
      <c r="F46" s="68"/>
      <c r="G46" s="68"/>
      <c r="H46" s="68"/>
      <c r="I46" s="67"/>
      <c r="J46" s="47"/>
      <c r="K46" s="47"/>
      <c r="L46" s="67"/>
      <c r="M46" s="47">
        <v>45449.68</v>
      </c>
      <c r="N46" s="47"/>
      <c r="O46" s="47"/>
      <c r="P46" s="47"/>
      <c r="Q46" s="47"/>
      <c r="R46" s="33">
        <f t="shared" si="4"/>
        <v>45449.68</v>
      </c>
      <c r="T46" s="47">
        <v>197181.26</v>
      </c>
      <c r="U46" s="85"/>
      <c r="V46" s="85"/>
      <c r="W46" s="85"/>
      <c r="X46" s="85"/>
      <c r="Y46" s="85"/>
      <c r="Z46" s="85"/>
      <c r="AA46" s="85"/>
      <c r="AB46" s="85"/>
      <c r="AC46" s="9">
        <f t="shared" si="0"/>
        <v>197181.26</v>
      </c>
      <c r="AE46" s="9">
        <f t="shared" si="1"/>
        <v>-151731.58000000002</v>
      </c>
      <c r="AF46" s="47"/>
      <c r="AG46" s="47"/>
      <c r="AH46" s="6">
        <f t="shared" si="2"/>
        <v>-151731.58000000002</v>
      </c>
    </row>
    <row r="47" spans="1:34" x14ac:dyDescent="0.25">
      <c r="A47" t="s">
        <v>165</v>
      </c>
      <c r="B47">
        <v>8180</v>
      </c>
      <c r="D47" s="9">
        <f t="shared" si="3"/>
        <v>195216.33</v>
      </c>
      <c r="E47" s="68"/>
      <c r="F47" s="68"/>
      <c r="G47" s="68"/>
      <c r="H47" s="68">
        <v>154859.43</v>
      </c>
      <c r="I47" s="67"/>
      <c r="J47" s="47"/>
      <c r="K47" s="47">
        <v>100</v>
      </c>
      <c r="L47" s="67"/>
      <c r="M47" s="47">
        <v>4770.3999999999996</v>
      </c>
      <c r="N47" s="47"/>
      <c r="O47" s="47"/>
      <c r="P47" s="47"/>
      <c r="Q47" s="47">
        <v>35486.5</v>
      </c>
      <c r="R47" s="33">
        <f t="shared" si="4"/>
        <v>195216.33</v>
      </c>
      <c r="T47" s="47">
        <v>364590.28</v>
      </c>
      <c r="U47" s="85"/>
      <c r="V47" s="85"/>
      <c r="W47" s="85"/>
      <c r="X47" s="85"/>
      <c r="Y47" s="85"/>
      <c r="Z47" s="85"/>
      <c r="AA47" s="85"/>
      <c r="AB47" s="85"/>
      <c r="AC47" s="9">
        <f t="shared" si="0"/>
        <v>364590.28</v>
      </c>
      <c r="AE47" s="9">
        <f t="shared" si="1"/>
        <v>-169373.95000000004</v>
      </c>
      <c r="AF47" s="47"/>
      <c r="AG47" s="47"/>
      <c r="AH47" s="6">
        <f t="shared" si="2"/>
        <v>-169373.95000000004</v>
      </c>
    </row>
    <row r="48" spans="1:34" x14ac:dyDescent="0.25">
      <c r="A48" t="s">
        <v>166</v>
      </c>
      <c r="B48">
        <v>8185</v>
      </c>
      <c r="D48" s="9">
        <f t="shared" si="3"/>
        <v>0</v>
      </c>
      <c r="E48" s="68"/>
      <c r="F48" s="68"/>
      <c r="G48" s="68"/>
      <c r="H48" s="68"/>
      <c r="I48" s="67"/>
      <c r="J48" s="47"/>
      <c r="K48" s="47"/>
      <c r="L48" s="67"/>
      <c r="M48" s="47"/>
      <c r="N48" s="47"/>
      <c r="O48" s="47"/>
      <c r="P48" s="47"/>
      <c r="Q48" s="47"/>
      <c r="R48" s="33">
        <f t="shared" si="4"/>
        <v>0</v>
      </c>
      <c r="T48" s="47">
        <v>96560.16</v>
      </c>
      <c r="U48" s="85"/>
      <c r="V48" s="85"/>
      <c r="W48" s="85"/>
      <c r="X48" s="85"/>
      <c r="Y48" s="85"/>
      <c r="Z48" s="85"/>
      <c r="AA48" s="85"/>
      <c r="AB48" s="85"/>
      <c r="AC48" s="9">
        <f t="shared" si="0"/>
        <v>96560.16</v>
      </c>
      <c r="AE48" s="9">
        <f t="shared" si="1"/>
        <v>-96560.16</v>
      </c>
      <c r="AF48" s="47"/>
      <c r="AG48" s="47">
        <v>856.56</v>
      </c>
      <c r="AH48" s="6">
        <f t="shared" si="2"/>
        <v>-97416.72</v>
      </c>
    </row>
    <row r="49" spans="1:34" x14ac:dyDescent="0.25">
      <c r="A49" t="s">
        <v>167</v>
      </c>
      <c r="B49">
        <v>8245</v>
      </c>
      <c r="D49" s="9">
        <f t="shared" si="3"/>
        <v>635.20000000000005</v>
      </c>
      <c r="E49" s="68"/>
      <c r="F49" s="68"/>
      <c r="G49" s="68"/>
      <c r="H49" s="68"/>
      <c r="I49" s="67"/>
      <c r="J49" s="47"/>
      <c r="K49" s="47"/>
      <c r="L49" s="67"/>
      <c r="M49" s="47">
        <v>635.20000000000005</v>
      </c>
      <c r="N49" s="47"/>
      <c r="O49" s="47"/>
      <c r="P49" s="47"/>
      <c r="Q49" s="47"/>
      <c r="R49" s="33">
        <f t="shared" si="4"/>
        <v>635.20000000000005</v>
      </c>
      <c r="T49" s="85"/>
      <c r="U49" s="47">
        <v>26578.91</v>
      </c>
      <c r="V49" s="85"/>
      <c r="W49" s="85"/>
      <c r="X49" s="85"/>
      <c r="Y49" s="85"/>
      <c r="Z49" s="85"/>
      <c r="AA49" s="85"/>
      <c r="AB49" s="85"/>
      <c r="AC49" s="9">
        <f t="shared" si="0"/>
        <v>26578.91</v>
      </c>
      <c r="AE49" s="9">
        <f t="shared" si="1"/>
        <v>-25943.71</v>
      </c>
      <c r="AF49" s="47"/>
      <c r="AG49" s="47"/>
      <c r="AH49" s="6">
        <f t="shared" si="2"/>
        <v>-25943.71</v>
      </c>
    </row>
    <row r="50" spans="1:34" x14ac:dyDescent="0.25">
      <c r="A50" t="s">
        <v>168</v>
      </c>
      <c r="B50">
        <v>8250</v>
      </c>
      <c r="D50" s="9">
        <f t="shared" si="3"/>
        <v>296623.71999999997</v>
      </c>
      <c r="E50" s="68"/>
      <c r="F50" s="68"/>
      <c r="G50" s="68"/>
      <c r="H50" s="68"/>
      <c r="I50" s="67"/>
      <c r="J50" s="47"/>
      <c r="K50" s="47"/>
      <c r="L50" s="67"/>
      <c r="M50" s="47">
        <v>296623.71999999997</v>
      </c>
      <c r="N50" s="47"/>
      <c r="O50" s="47"/>
      <c r="P50" s="47"/>
      <c r="Q50" s="47"/>
      <c r="R50" s="33">
        <f t="shared" si="4"/>
        <v>296623.71999999997</v>
      </c>
      <c r="T50" s="85"/>
      <c r="U50" s="47">
        <v>265861.45</v>
      </c>
      <c r="V50" s="85"/>
      <c r="W50" s="85"/>
      <c r="X50" s="85"/>
      <c r="Y50" s="85"/>
      <c r="Z50" s="85"/>
      <c r="AA50" s="85"/>
      <c r="AB50" s="85"/>
      <c r="AC50" s="9">
        <f t="shared" si="0"/>
        <v>265861.45</v>
      </c>
      <c r="AE50" s="9">
        <f t="shared" si="1"/>
        <v>30762.26999999996</v>
      </c>
      <c r="AF50" s="47"/>
      <c r="AG50" s="47"/>
      <c r="AH50" s="6">
        <f t="shared" si="2"/>
        <v>30762.26999999996</v>
      </c>
    </row>
    <row r="51" spans="1:34" x14ac:dyDescent="0.25">
      <c r="A51" t="s">
        <v>169</v>
      </c>
      <c r="B51">
        <v>8255</v>
      </c>
      <c r="D51" s="9">
        <f t="shared" si="3"/>
        <v>6844.91</v>
      </c>
      <c r="E51" s="68"/>
      <c r="F51" s="68"/>
      <c r="G51" s="68"/>
      <c r="H51" s="68"/>
      <c r="I51" s="67"/>
      <c r="J51" s="47"/>
      <c r="K51" s="75"/>
      <c r="L51" s="67">
        <v>5524.91</v>
      </c>
      <c r="M51" s="47"/>
      <c r="N51" s="47"/>
      <c r="O51" s="47"/>
      <c r="P51" s="47"/>
      <c r="Q51" s="47">
        <v>1320</v>
      </c>
      <c r="R51" s="33">
        <f t="shared" si="4"/>
        <v>6844.91</v>
      </c>
      <c r="T51" s="85"/>
      <c r="U51" s="47">
        <v>83778.36</v>
      </c>
      <c r="V51" s="85"/>
      <c r="W51" s="85"/>
      <c r="X51" s="85"/>
      <c r="Y51" s="85"/>
      <c r="Z51" s="85"/>
      <c r="AA51" s="85"/>
      <c r="AB51" s="85"/>
      <c r="AC51" s="9">
        <f t="shared" si="0"/>
        <v>83778.36</v>
      </c>
      <c r="AE51" s="9">
        <f t="shared" si="1"/>
        <v>-76933.45</v>
      </c>
      <c r="AF51" s="47"/>
      <c r="AG51" s="47"/>
      <c r="AH51" s="6">
        <f t="shared" si="2"/>
        <v>-76933.45</v>
      </c>
    </row>
    <row r="52" spans="1:34" x14ac:dyDescent="0.25">
      <c r="A52" t="s">
        <v>170</v>
      </c>
      <c r="B52">
        <v>8260</v>
      </c>
      <c r="D52" s="9">
        <f t="shared" si="3"/>
        <v>323061.89</v>
      </c>
      <c r="E52" s="68"/>
      <c r="F52" s="68"/>
      <c r="G52" s="68"/>
      <c r="H52" s="68"/>
      <c r="I52" s="67"/>
      <c r="J52" s="47"/>
      <c r="K52" s="47"/>
      <c r="L52" s="67">
        <v>303151.09000000003</v>
      </c>
      <c r="M52" s="47"/>
      <c r="N52" s="47">
        <v>19910.8</v>
      </c>
      <c r="O52" s="47"/>
      <c r="P52" s="47"/>
      <c r="Q52" s="47"/>
      <c r="R52" s="33">
        <f t="shared" si="4"/>
        <v>323061.89</v>
      </c>
      <c r="T52" s="85"/>
      <c r="U52" s="47">
        <v>805363.33</v>
      </c>
      <c r="V52" s="85"/>
      <c r="W52" s="85"/>
      <c r="X52" s="85"/>
      <c r="Y52" s="85"/>
      <c r="Z52" s="85"/>
      <c r="AA52" s="85"/>
      <c r="AB52" s="85"/>
      <c r="AC52" s="9">
        <f t="shared" si="0"/>
        <v>805363.33</v>
      </c>
      <c r="AE52" s="9">
        <f t="shared" si="1"/>
        <v>-482301.43999999994</v>
      </c>
      <c r="AF52" s="47"/>
      <c r="AG52" s="47">
        <v>120</v>
      </c>
      <c r="AH52" s="6">
        <f t="shared" si="2"/>
        <v>-482421.43999999994</v>
      </c>
    </row>
    <row r="53" spans="1:34" x14ac:dyDescent="0.25">
      <c r="A53" t="s">
        <v>171</v>
      </c>
      <c r="B53">
        <v>8265</v>
      </c>
      <c r="D53" s="9">
        <f t="shared" si="3"/>
        <v>281585.31</v>
      </c>
      <c r="E53" s="68"/>
      <c r="F53" s="68"/>
      <c r="G53" s="68"/>
      <c r="H53" s="68"/>
      <c r="I53" s="67"/>
      <c r="J53" s="47"/>
      <c r="K53" s="47"/>
      <c r="L53" s="67"/>
      <c r="M53" s="47">
        <v>281208.12</v>
      </c>
      <c r="N53" s="47"/>
      <c r="O53" s="47">
        <v>377.19</v>
      </c>
      <c r="P53" s="47"/>
      <c r="Q53" s="47"/>
      <c r="R53" s="33">
        <f t="shared" si="4"/>
        <v>281585.31</v>
      </c>
      <c r="T53" s="85"/>
      <c r="U53" s="47">
        <v>314195.18</v>
      </c>
      <c r="V53" s="85"/>
      <c r="W53" s="85"/>
      <c r="X53" s="85"/>
      <c r="Y53" s="85"/>
      <c r="Z53" s="85"/>
      <c r="AA53" s="85"/>
      <c r="AB53" s="85"/>
      <c r="AC53" s="9">
        <f t="shared" si="0"/>
        <v>314195.18</v>
      </c>
      <c r="AE53" s="9">
        <f t="shared" si="1"/>
        <v>-32609.869999999995</v>
      </c>
      <c r="AF53" s="47"/>
      <c r="AG53" s="47"/>
      <c r="AH53" s="6">
        <f t="shared" si="2"/>
        <v>-32609.869999999995</v>
      </c>
    </row>
    <row r="54" spans="1:34" x14ac:dyDescent="0.25">
      <c r="A54" t="s">
        <v>172</v>
      </c>
      <c r="B54">
        <v>8270</v>
      </c>
      <c r="D54" s="9">
        <f t="shared" si="3"/>
        <v>155017.59000000003</v>
      </c>
      <c r="E54" s="68"/>
      <c r="F54" s="68"/>
      <c r="G54" s="68"/>
      <c r="H54" s="68"/>
      <c r="I54" s="67"/>
      <c r="J54" s="47"/>
      <c r="K54" s="47">
        <v>3342.35</v>
      </c>
      <c r="L54" s="67"/>
      <c r="M54" s="47">
        <v>113473.60000000001</v>
      </c>
      <c r="N54" s="47">
        <v>38201.64</v>
      </c>
      <c r="O54" s="47"/>
      <c r="P54" s="47"/>
      <c r="Q54" s="47"/>
      <c r="R54" s="33">
        <f t="shared" si="4"/>
        <v>155017.59000000003</v>
      </c>
      <c r="T54" s="85"/>
      <c r="U54" s="47">
        <v>808393.2</v>
      </c>
      <c r="V54" s="85"/>
      <c r="W54" s="85"/>
      <c r="X54" s="85"/>
      <c r="Y54" s="85"/>
      <c r="Z54" s="85"/>
      <c r="AA54" s="85"/>
      <c r="AB54" s="85"/>
      <c r="AC54" s="9">
        <f t="shared" si="0"/>
        <v>808393.2</v>
      </c>
      <c r="AE54" s="9">
        <f t="shared" si="1"/>
        <v>-653375.60999999987</v>
      </c>
      <c r="AF54" s="47"/>
      <c r="AG54" s="47">
        <v>390</v>
      </c>
      <c r="AH54" s="6">
        <f t="shared" si="2"/>
        <v>-653765.60999999987</v>
      </c>
    </row>
    <row r="55" spans="1:34" x14ac:dyDescent="0.25">
      <c r="A55" t="s">
        <v>173</v>
      </c>
      <c r="B55">
        <v>9110</v>
      </c>
      <c r="D55" s="9">
        <f t="shared" si="3"/>
        <v>1075</v>
      </c>
      <c r="E55" s="68"/>
      <c r="F55" s="68"/>
      <c r="G55" s="68"/>
      <c r="H55" s="68"/>
      <c r="I55" s="67"/>
      <c r="J55" s="47"/>
      <c r="K55" s="47">
        <v>75</v>
      </c>
      <c r="L55" s="67"/>
      <c r="M55" s="47">
        <v>1000</v>
      </c>
      <c r="N55" s="47"/>
      <c r="O55" s="47"/>
      <c r="P55" s="47"/>
      <c r="Q55" s="47"/>
      <c r="R55" s="33">
        <f t="shared" si="4"/>
        <v>1075</v>
      </c>
      <c r="T55" s="47">
        <v>417344.11</v>
      </c>
      <c r="U55" s="85"/>
      <c r="V55" s="85"/>
      <c r="W55" s="85"/>
      <c r="X55" s="85"/>
      <c r="Y55" s="85"/>
      <c r="Z55" s="85"/>
      <c r="AA55" s="85"/>
      <c r="AB55" s="85"/>
      <c r="AC55" s="9">
        <f t="shared" si="0"/>
        <v>417344.11</v>
      </c>
      <c r="AE55" s="9">
        <f t="shared" si="1"/>
        <v>-416269.11</v>
      </c>
      <c r="AF55" s="47"/>
      <c r="AG55" s="47"/>
      <c r="AH55" s="6">
        <f t="shared" si="2"/>
        <v>-416269.11</v>
      </c>
    </row>
    <row r="56" spans="1:34" x14ac:dyDescent="0.25">
      <c r="A56" t="s">
        <v>174</v>
      </c>
      <c r="B56">
        <v>9115</v>
      </c>
      <c r="D56" s="9">
        <f t="shared" si="3"/>
        <v>32.380000000000003</v>
      </c>
      <c r="E56" s="68"/>
      <c r="F56" s="68"/>
      <c r="G56" s="68"/>
      <c r="H56" s="68"/>
      <c r="I56" s="67"/>
      <c r="J56" s="47"/>
      <c r="K56" s="47"/>
      <c r="L56" s="67">
        <v>32.380000000000003</v>
      </c>
      <c r="M56" s="47"/>
      <c r="N56" s="47"/>
      <c r="O56" s="47"/>
      <c r="P56" s="47"/>
      <c r="Q56" s="47"/>
      <c r="R56" s="33">
        <f t="shared" si="4"/>
        <v>32.380000000000003</v>
      </c>
      <c r="T56" s="47">
        <v>184949.8</v>
      </c>
      <c r="U56" s="85"/>
      <c r="V56" s="85"/>
      <c r="W56" s="85"/>
      <c r="X56" s="85"/>
      <c r="Y56" s="85"/>
      <c r="Z56" s="85"/>
      <c r="AA56" s="85"/>
      <c r="AB56" s="85"/>
      <c r="AC56" s="9">
        <f t="shared" si="0"/>
        <v>184949.8</v>
      </c>
      <c r="AE56" s="9">
        <f t="shared" si="1"/>
        <v>-184917.41999999998</v>
      </c>
      <c r="AF56" s="47"/>
      <c r="AG56" s="47"/>
      <c r="AH56" s="6">
        <f t="shared" si="2"/>
        <v>-184917.41999999998</v>
      </c>
    </row>
    <row r="57" spans="1:34" x14ac:dyDescent="0.25">
      <c r="A57" t="s">
        <v>175</v>
      </c>
      <c r="B57">
        <v>9125</v>
      </c>
      <c r="D57" s="9">
        <f t="shared" si="3"/>
        <v>807.5</v>
      </c>
      <c r="E57" s="68"/>
      <c r="F57" s="68"/>
      <c r="G57" s="68"/>
      <c r="H57" s="68"/>
      <c r="I57" s="67"/>
      <c r="J57" s="47"/>
      <c r="K57" s="47"/>
      <c r="L57" s="67"/>
      <c r="M57" s="47">
        <v>807.5</v>
      </c>
      <c r="N57" s="47"/>
      <c r="O57" s="47"/>
      <c r="P57" s="47"/>
      <c r="Q57" s="47"/>
      <c r="R57" s="33">
        <f t="shared" si="4"/>
        <v>807.5</v>
      </c>
      <c r="T57" s="47">
        <v>735446.6</v>
      </c>
      <c r="U57" s="123"/>
      <c r="V57" s="85"/>
      <c r="W57" s="85"/>
      <c r="X57" s="85"/>
      <c r="Y57" s="85"/>
      <c r="Z57" s="85"/>
      <c r="AA57" s="85"/>
      <c r="AB57" s="85"/>
      <c r="AC57" s="9">
        <f t="shared" si="0"/>
        <v>735446.6</v>
      </c>
      <c r="AE57" s="9">
        <f t="shared" si="1"/>
        <v>-734639.1</v>
      </c>
      <c r="AF57" s="47">
        <v>39000</v>
      </c>
      <c r="AG57" s="47"/>
      <c r="AH57" s="6">
        <f t="shared" si="2"/>
        <v>-695639.1</v>
      </c>
    </row>
    <row r="58" spans="1:34" x14ac:dyDescent="0.25">
      <c r="A58" t="s">
        <v>176</v>
      </c>
      <c r="B58">
        <v>9130</v>
      </c>
      <c r="D58" s="9">
        <f t="shared" si="3"/>
        <v>15</v>
      </c>
      <c r="E58" s="68"/>
      <c r="F58" s="68"/>
      <c r="G58" s="68"/>
      <c r="H58" s="68"/>
      <c r="I58" s="67"/>
      <c r="J58" s="47"/>
      <c r="K58" s="47"/>
      <c r="L58" s="67"/>
      <c r="M58" s="47">
        <v>15</v>
      </c>
      <c r="N58" s="47"/>
      <c r="O58" s="47"/>
      <c r="P58" s="47"/>
      <c r="Q58" s="47"/>
      <c r="R58" s="33">
        <f t="shared" si="4"/>
        <v>15</v>
      </c>
      <c r="T58" s="47">
        <v>378630.65</v>
      </c>
      <c r="U58" s="85"/>
      <c r="V58" s="85"/>
      <c r="W58" s="85"/>
      <c r="X58" s="123"/>
      <c r="Y58" s="85"/>
      <c r="Z58" s="85"/>
      <c r="AA58" s="85"/>
      <c r="AB58" s="85"/>
      <c r="AC58" s="9">
        <f t="shared" si="0"/>
        <v>378630.65</v>
      </c>
      <c r="AE58" s="9">
        <f t="shared" si="1"/>
        <v>-378615.65</v>
      </c>
      <c r="AF58" s="47">
        <v>35217.06</v>
      </c>
      <c r="AG58" s="47"/>
      <c r="AH58" s="6">
        <f t="shared" si="2"/>
        <v>-343398.59</v>
      </c>
    </row>
    <row r="59" spans="1:34" x14ac:dyDescent="0.25">
      <c r="A59" t="s">
        <v>177</v>
      </c>
      <c r="B59">
        <v>9190</v>
      </c>
      <c r="D59" s="9">
        <f t="shared" si="3"/>
        <v>1594481.42</v>
      </c>
      <c r="E59" s="68"/>
      <c r="F59" s="68"/>
      <c r="G59" s="68"/>
      <c r="H59" s="68"/>
      <c r="I59" s="67"/>
      <c r="J59" s="47"/>
      <c r="K59" s="47">
        <v>125000</v>
      </c>
      <c r="L59" s="67">
        <v>1390496.55</v>
      </c>
      <c r="M59" s="47">
        <v>78984.87</v>
      </c>
      <c r="N59" s="47"/>
      <c r="O59" s="47"/>
      <c r="P59" s="47"/>
      <c r="Q59" s="47"/>
      <c r="R59" s="33">
        <f t="shared" si="4"/>
        <v>1594481.42</v>
      </c>
      <c r="T59" s="47">
        <v>1669644.32</v>
      </c>
      <c r="U59" s="85"/>
      <c r="V59" s="85"/>
      <c r="W59" s="85"/>
      <c r="X59" s="85"/>
      <c r="Y59" s="123"/>
      <c r="Z59" s="85"/>
      <c r="AA59" s="85"/>
      <c r="AB59" s="85"/>
      <c r="AC59" s="9">
        <f t="shared" si="0"/>
        <v>1669644.32</v>
      </c>
      <c r="AE59" s="9">
        <f t="shared" si="1"/>
        <v>-75162.90000000014</v>
      </c>
      <c r="AF59" s="47"/>
      <c r="AG59" s="47"/>
      <c r="AH59" s="6">
        <f t="shared" si="2"/>
        <v>-75162.90000000014</v>
      </c>
    </row>
    <row r="60" spans="1:34" x14ac:dyDescent="0.25">
      <c r="A60" t="s">
        <v>228</v>
      </c>
      <c r="B60">
        <v>9605</v>
      </c>
      <c r="D60" s="9">
        <f t="shared" si="3"/>
        <v>131188.12999999998</v>
      </c>
      <c r="E60" s="68"/>
      <c r="F60" s="68"/>
      <c r="G60" s="68"/>
      <c r="H60" s="68"/>
      <c r="I60" s="67"/>
      <c r="J60" s="47"/>
      <c r="K60" s="47">
        <f>4132+10957.33+40</f>
        <v>15129.33</v>
      </c>
      <c r="L60" s="67">
        <v>43183</v>
      </c>
      <c r="M60" s="47">
        <f>72840.4-40</f>
        <v>72800.399999999994</v>
      </c>
      <c r="N60" s="47"/>
      <c r="O60" s="47">
        <v>75.400000000000006</v>
      </c>
      <c r="P60" s="47"/>
      <c r="Q60" s="47"/>
      <c r="R60" s="33">
        <f t="shared" si="4"/>
        <v>131188.12999999998</v>
      </c>
      <c r="T60" s="47"/>
      <c r="U60" s="85"/>
      <c r="V60" s="85"/>
      <c r="W60" s="85"/>
      <c r="X60" s="85"/>
      <c r="Y60" s="85"/>
      <c r="Z60" s="47">
        <v>394165.19</v>
      </c>
      <c r="AA60" s="85"/>
      <c r="AB60" s="85"/>
      <c r="AC60" s="9">
        <f>SUM(T60:AB60)</f>
        <v>394165.19</v>
      </c>
      <c r="AE60" s="9">
        <f t="shared" si="1"/>
        <v>-262977.06000000006</v>
      </c>
      <c r="AF60" s="47">
        <v>10792.09</v>
      </c>
      <c r="AG60" s="47"/>
      <c r="AH60" s="6">
        <f t="shared" si="2"/>
        <v>-252184.97000000006</v>
      </c>
    </row>
    <row r="61" spans="1:34" x14ac:dyDescent="0.25">
      <c r="A61" t="s">
        <v>178</v>
      </c>
      <c r="B61">
        <v>9710</v>
      </c>
      <c r="D61" s="9">
        <f t="shared" si="3"/>
        <v>19198.61</v>
      </c>
      <c r="E61" s="68"/>
      <c r="F61" s="68"/>
      <c r="G61" s="68"/>
      <c r="H61" s="68"/>
      <c r="I61" s="67"/>
      <c r="J61" s="47"/>
      <c r="K61" s="47">
        <f>2315.61</f>
        <v>2315.61</v>
      </c>
      <c r="L61" s="67"/>
      <c r="M61" s="47">
        <f>9990.61+9208-2315.61</f>
        <v>16883</v>
      </c>
      <c r="N61" s="47"/>
      <c r="O61" s="47"/>
      <c r="P61" s="47"/>
      <c r="Q61" s="47"/>
      <c r="R61" s="33">
        <f t="shared" si="4"/>
        <v>19198.61</v>
      </c>
      <c r="T61" s="85"/>
      <c r="U61" s="85"/>
      <c r="V61" s="85"/>
      <c r="W61" s="85"/>
      <c r="X61" s="85"/>
      <c r="Y61" s="47">
        <v>659974.84</v>
      </c>
      <c r="Z61" s="85"/>
      <c r="AA61" s="85"/>
      <c r="AB61" s="85"/>
      <c r="AC61" s="9">
        <f>SUM(U61:AB61)</f>
        <v>659974.84</v>
      </c>
      <c r="AE61" s="9">
        <f t="shared" si="1"/>
        <v>-640776.23</v>
      </c>
      <c r="AF61" s="47">
        <v>97985</v>
      </c>
      <c r="AG61" s="47"/>
      <c r="AH61" s="6">
        <f t="shared" si="2"/>
        <v>-542791.23</v>
      </c>
    </row>
    <row r="62" spans="1:34" x14ac:dyDescent="0.25">
      <c r="A62" t="s">
        <v>179</v>
      </c>
      <c r="B62">
        <v>9805</v>
      </c>
      <c r="D62" s="9">
        <f t="shared" si="3"/>
        <v>0</v>
      </c>
      <c r="E62" s="68"/>
      <c r="F62" s="68"/>
      <c r="G62" s="68"/>
      <c r="H62" s="68"/>
      <c r="I62" s="67"/>
      <c r="J62" s="47"/>
      <c r="K62" s="47"/>
      <c r="L62" s="67"/>
      <c r="M62" s="47"/>
      <c r="N62" s="47"/>
      <c r="O62" s="47"/>
      <c r="P62" s="47"/>
      <c r="Q62" s="47"/>
      <c r="R62" s="33">
        <f t="shared" si="4"/>
        <v>0</v>
      </c>
      <c r="T62" s="47">
        <v>480029.24</v>
      </c>
      <c r="U62" s="85"/>
      <c r="V62" s="85"/>
      <c r="W62" s="85"/>
      <c r="X62" s="85"/>
      <c r="Y62" s="85"/>
      <c r="Z62" s="85"/>
      <c r="AA62" s="85"/>
      <c r="AB62" s="85"/>
      <c r="AC62" s="9">
        <f t="shared" si="0"/>
        <v>480029.24</v>
      </c>
      <c r="AE62" s="9">
        <f t="shared" si="1"/>
        <v>-480029.24</v>
      </c>
      <c r="AF62" s="47">
        <v>76194.149999999994</v>
      </c>
      <c r="AG62" s="47"/>
      <c r="AH62" s="6">
        <f t="shared" si="2"/>
        <v>-403835.08999999997</v>
      </c>
    </row>
    <row r="63" spans="1:34" x14ac:dyDescent="0.25">
      <c r="A63" t="s">
        <v>180</v>
      </c>
      <c r="B63">
        <v>9810</v>
      </c>
      <c r="D63" s="9">
        <f t="shared" si="3"/>
        <v>0</v>
      </c>
      <c r="E63" s="68"/>
      <c r="F63" s="68"/>
      <c r="G63" s="68"/>
      <c r="H63" s="68"/>
      <c r="I63" s="67"/>
      <c r="J63" s="47"/>
      <c r="K63" s="47"/>
      <c r="L63" s="67"/>
      <c r="M63" s="47"/>
      <c r="N63" s="47"/>
      <c r="O63" s="47"/>
      <c r="P63" s="47"/>
      <c r="Q63" s="47"/>
      <c r="R63" s="33">
        <f t="shared" si="4"/>
        <v>0</v>
      </c>
      <c r="T63" s="47">
        <v>83156.25</v>
      </c>
      <c r="U63" s="85"/>
      <c r="V63" s="85"/>
      <c r="W63" s="85"/>
      <c r="X63" s="85"/>
      <c r="Y63" s="85"/>
      <c r="Z63" s="85"/>
      <c r="AA63" s="85"/>
      <c r="AB63" s="85"/>
      <c r="AC63" s="9">
        <f t="shared" si="0"/>
        <v>83156.25</v>
      </c>
      <c r="AE63" s="9">
        <f t="shared" si="1"/>
        <v>-83156.25</v>
      </c>
      <c r="AF63" s="47"/>
      <c r="AG63" s="47"/>
      <c r="AH63" s="6">
        <f t="shared" si="2"/>
        <v>-83156.25</v>
      </c>
    </row>
    <row r="64" spans="1:34" x14ac:dyDescent="0.25">
      <c r="A64" t="s">
        <v>73</v>
      </c>
      <c r="C64" s="9">
        <f>SUM(C7:C63)</f>
        <v>0</v>
      </c>
      <c r="D64" s="9">
        <f>SUM(D7:D63)</f>
        <v>17119051.610000003</v>
      </c>
      <c r="E64" s="9">
        <f t="shared" ref="E64:J64" si="5">SUM(E7:E63)</f>
        <v>11465738.93</v>
      </c>
      <c r="F64" s="9">
        <f t="shared" si="5"/>
        <v>0</v>
      </c>
      <c r="G64" s="9">
        <f t="shared" si="5"/>
        <v>154127.41</v>
      </c>
      <c r="H64" s="9">
        <f t="shared" si="5"/>
        <v>154859.43</v>
      </c>
      <c r="I64" s="9">
        <f t="shared" si="5"/>
        <v>10649.29</v>
      </c>
      <c r="J64" s="9">
        <f t="shared" si="5"/>
        <v>3038.84</v>
      </c>
      <c r="K64" s="9">
        <f t="shared" ref="K64:AH64" si="6">SUM(K7:K63)</f>
        <v>351331.26</v>
      </c>
      <c r="L64" s="9">
        <f t="shared" si="6"/>
        <v>2477735.1800000002</v>
      </c>
      <c r="M64" s="9">
        <f t="shared" si="6"/>
        <v>2316964.63</v>
      </c>
      <c r="N64" s="9">
        <f t="shared" si="6"/>
        <v>130448.96000000001</v>
      </c>
      <c r="O64" s="9">
        <f t="shared" si="6"/>
        <v>17474.179999999997</v>
      </c>
      <c r="P64" s="9">
        <f t="shared" si="6"/>
        <v>0</v>
      </c>
      <c r="Q64" s="9">
        <f t="shared" si="6"/>
        <v>36683.5</v>
      </c>
      <c r="R64" s="9">
        <f t="shared" si="6"/>
        <v>17119051.610000003</v>
      </c>
      <c r="T64" s="9">
        <f t="shared" si="6"/>
        <v>7098258.6400000015</v>
      </c>
      <c r="U64" s="9">
        <f t="shared" si="6"/>
        <v>3921365.3100000005</v>
      </c>
      <c r="V64" s="9">
        <f t="shared" si="6"/>
        <v>4859726.79</v>
      </c>
      <c r="W64" s="46">
        <f t="shared" si="6"/>
        <v>527577.1</v>
      </c>
      <c r="X64" s="9">
        <f t="shared" si="6"/>
        <v>125330.94</v>
      </c>
      <c r="Y64" s="9">
        <f t="shared" si="6"/>
        <v>660670.42999999993</v>
      </c>
      <c r="Z64" s="9">
        <f t="shared" si="6"/>
        <v>394165.19</v>
      </c>
      <c r="AA64" s="9">
        <f t="shared" si="6"/>
        <v>0</v>
      </c>
      <c r="AB64" s="9">
        <f t="shared" si="6"/>
        <v>0</v>
      </c>
      <c r="AC64" s="9">
        <f t="shared" si="6"/>
        <v>17587094.399999995</v>
      </c>
      <c r="AE64" s="9">
        <f t="shared" si="6"/>
        <v>-468042.79000000143</v>
      </c>
      <c r="AF64" s="9">
        <f t="shared" si="6"/>
        <v>4790214.43</v>
      </c>
      <c r="AG64" s="9">
        <f t="shared" si="6"/>
        <v>2218556.13</v>
      </c>
      <c r="AH64" s="9">
        <f t="shared" si="6"/>
        <v>2103615.5099999961</v>
      </c>
    </row>
    <row r="65" spans="1:37" x14ac:dyDescent="0.25">
      <c r="E65" s="66" t="s">
        <v>317</v>
      </c>
      <c r="F65" s="81">
        <f>SUM(E64:H64)</f>
        <v>11774725.77</v>
      </c>
      <c r="AH65" s="9"/>
    </row>
    <row r="66" spans="1:37" x14ac:dyDescent="0.25">
      <c r="A66" t="s">
        <v>398</v>
      </c>
      <c r="K66" s="9">
        <v>-1361</v>
      </c>
      <c r="L66" s="9">
        <v>-23472</v>
      </c>
      <c r="U66" s="9">
        <v>-494707</v>
      </c>
      <c r="AF66" s="9">
        <f>-133487-336179</f>
        <v>-469666</v>
      </c>
      <c r="AG66" s="9">
        <v>208</v>
      </c>
      <c r="AH66" s="9"/>
    </row>
    <row r="67" spans="1:37" x14ac:dyDescent="0.25">
      <c r="A67" t="s">
        <v>409</v>
      </c>
      <c r="U67" s="9">
        <v>-5737</v>
      </c>
      <c r="AH67" s="9"/>
      <c r="AI67" s="9"/>
      <c r="AJ67" s="9"/>
      <c r="AK67" s="6">
        <f>R64+AF64</f>
        <v>21909266.040000003</v>
      </c>
    </row>
    <row r="68" spans="1:37" x14ac:dyDescent="0.25">
      <c r="A68" t="s">
        <v>411</v>
      </c>
      <c r="AF68" s="9">
        <f>49553+1839</f>
        <v>51392</v>
      </c>
      <c r="AH68" s="9"/>
      <c r="AI68" s="9"/>
      <c r="AJ68" s="9"/>
      <c r="AK68" s="6">
        <f>AC64+AG64</f>
        <v>19805650.529999994</v>
      </c>
    </row>
    <row r="69" spans="1:37" x14ac:dyDescent="0.25">
      <c r="A69" t="s">
        <v>395</v>
      </c>
      <c r="AH69" s="9"/>
    </row>
    <row r="70" spans="1:37" x14ac:dyDescent="0.25">
      <c r="A70" t="s">
        <v>197</v>
      </c>
      <c r="AH70" s="9"/>
    </row>
    <row r="71" spans="1:37" x14ac:dyDescent="0.25">
      <c r="A71" t="s">
        <v>198</v>
      </c>
      <c r="AH71" s="9"/>
    </row>
    <row r="72" spans="1:37" x14ac:dyDescent="0.25">
      <c r="A72" t="s">
        <v>199</v>
      </c>
      <c r="AH72" s="9"/>
    </row>
    <row r="73" spans="1:37" x14ac:dyDescent="0.25">
      <c r="C73" s="9">
        <f>SUM(C64:C72)</f>
        <v>0</v>
      </c>
      <c r="D73" s="9">
        <f>SUM(E73:Q73)</f>
        <v>17094218.609999999</v>
      </c>
      <c r="E73" s="9">
        <f t="shared" ref="E73:J73" si="7">SUM(E64:E72)</f>
        <v>11465738.93</v>
      </c>
      <c r="F73" s="9">
        <f>F64</f>
        <v>0</v>
      </c>
      <c r="G73" s="9">
        <f t="shared" si="7"/>
        <v>154127.41</v>
      </c>
      <c r="H73" s="9">
        <f t="shared" si="7"/>
        <v>154859.43</v>
      </c>
      <c r="I73" s="9">
        <f t="shared" si="7"/>
        <v>10649.29</v>
      </c>
      <c r="J73" s="9">
        <f t="shared" si="7"/>
        <v>3038.84</v>
      </c>
      <c r="K73" s="9">
        <f t="shared" ref="K73:AG73" si="8">SUM(K64:K72)</f>
        <v>349970.26</v>
      </c>
      <c r="L73" s="9">
        <f t="shared" si="8"/>
        <v>2454263.1800000002</v>
      </c>
      <c r="M73" s="9">
        <f t="shared" si="8"/>
        <v>2316964.63</v>
      </c>
      <c r="N73" s="9">
        <f t="shared" si="8"/>
        <v>130448.96000000001</v>
      </c>
      <c r="O73" s="9">
        <f t="shared" si="8"/>
        <v>17474.179999999997</v>
      </c>
      <c r="P73" s="9">
        <f t="shared" si="8"/>
        <v>0</v>
      </c>
      <c r="Q73" s="9">
        <f t="shared" si="8"/>
        <v>36683.5</v>
      </c>
      <c r="R73" s="9">
        <f>SUM(E73:Q73)</f>
        <v>17094218.609999999</v>
      </c>
      <c r="T73" s="9">
        <f t="shared" si="8"/>
        <v>7098258.6400000015</v>
      </c>
      <c r="U73" s="9">
        <f t="shared" si="8"/>
        <v>3420921.3100000005</v>
      </c>
      <c r="V73" s="9">
        <f t="shared" si="8"/>
        <v>4859726.79</v>
      </c>
      <c r="W73" s="9">
        <f t="shared" si="8"/>
        <v>527577.1</v>
      </c>
      <c r="X73" s="9">
        <f t="shared" si="8"/>
        <v>125330.94</v>
      </c>
      <c r="Y73" s="9">
        <f t="shared" si="8"/>
        <v>660670.42999999993</v>
      </c>
      <c r="Z73" s="9">
        <f t="shared" si="8"/>
        <v>394165.19</v>
      </c>
      <c r="AA73" s="9">
        <f t="shared" si="8"/>
        <v>0</v>
      </c>
      <c r="AB73" s="9">
        <f t="shared" si="8"/>
        <v>0</v>
      </c>
      <c r="AC73" s="9">
        <f>SUM(T73:AB73)</f>
        <v>17086650.400000002</v>
      </c>
      <c r="AE73" s="9">
        <f>R73-AC73</f>
        <v>7568.2099999971688</v>
      </c>
      <c r="AF73" s="9">
        <f t="shared" si="8"/>
        <v>4371940.43</v>
      </c>
      <c r="AG73" s="9">
        <f t="shared" si="8"/>
        <v>2218764.13</v>
      </c>
      <c r="AH73" s="9">
        <f>AE73+AF73-AG73</f>
        <v>2160744.509999997</v>
      </c>
    </row>
    <row r="75" spans="1:37" x14ac:dyDescent="0.25">
      <c r="F75" s="75">
        <f>SUM(E73:H73)</f>
        <v>11774725.77</v>
      </c>
    </row>
    <row r="76" spans="1:37" x14ac:dyDescent="0.25">
      <c r="F76" s="66" t="s">
        <v>357</v>
      </c>
      <c r="J76" s="81">
        <f>I73+L73</f>
        <v>2464912.4700000002</v>
      </c>
    </row>
    <row r="77" spans="1:37" x14ac:dyDescent="0.25">
      <c r="J77" s="66" t="s">
        <v>391</v>
      </c>
      <c r="N77" s="81">
        <f>K73+P73</f>
        <v>349970.26</v>
      </c>
    </row>
    <row r="78" spans="1:37" x14ac:dyDescent="0.25">
      <c r="J78" s="66" t="s">
        <v>392</v>
      </c>
      <c r="N78" s="66" t="s">
        <v>393</v>
      </c>
    </row>
  </sheetData>
  <customSheetViews>
    <customSheetView guid="{E68B3865-8D72-47E7-BE32-0FF7EB09E889}" scale="90" fitToPage="1">
      <pane xSplit="2" ySplit="6" topLeftCell="D46" activePane="bottomRight" state="frozen"/>
      <selection pane="bottomRight" activeCell="H25" sqref="H25"/>
      <pageMargins left="0.2" right="0.35" top="0.75" bottom="0.75" header="0.3" footer="0.3"/>
      <printOptions gridLines="1"/>
      <pageSetup paperSize="5" scale="33" orientation="landscape" horizontalDpi="1200" r:id="rId1"/>
    </customSheetView>
    <customSheetView guid="{2B2709E2-6DF4-4CC4-88D0-056FB306137C}" scale="90" fitToPage="1">
      <pane xSplit="2" ySplit="6" topLeftCell="C7" activePane="bottomRight" state="frozen"/>
      <selection pane="bottomRight" activeCell="A19" sqref="A19"/>
      <pageMargins left="0.2" right="0.35" top="0.75" bottom="0.75" header="0.3" footer="0.3"/>
      <printOptions gridLines="1"/>
      <pageSetup paperSize="5" scale="33" orientation="landscape" horizontalDpi="1200" r:id="rId2"/>
    </customSheetView>
    <customSheetView guid="{EC03C3C8-7E57-47C6-8413-F484E8C46A0C}" showPageBreaks="1" fitToPage="1">
      <pane xSplit="1" ySplit="6" topLeftCell="W54" activePane="bottomRight" state="frozen"/>
      <selection pane="bottomRight" activeCell="AJ67" sqref="AJ67"/>
      <pageMargins left="0.2" right="0.35" top="0.75" bottom="0.75" header="0.3" footer="0.3"/>
      <printOptions gridLines="1"/>
      <pageSetup paperSize="5" scale="35" orientation="landscape" horizontalDpi="1200" r:id="rId3"/>
    </customSheetView>
    <customSheetView guid="{D62C3EC3-27D1-41F3-9A4E-06307CA202CE}" fitToPage="1" showRuler="0">
      <pane xSplit="1" ySplit="6" topLeftCell="U8" activePane="bottomRight" state="frozen"/>
      <selection pane="bottomRight" activeCell="Y63" sqref="Y63"/>
      <pageMargins left="0.2" right="0.35" top="0.75" bottom="0.75" header="0.3" footer="0.3"/>
      <printOptions gridLines="1"/>
      <pageSetup paperSize="5" scale="35" orientation="landscape" horizontalDpi="1200" r:id="rId4"/>
      <headerFooter alignWithMargins="0"/>
    </customSheetView>
    <customSheetView guid="{A6F79E61-D6A3-44FD-B4A4-4724DF74349B}" showPageBreaks="1" fitToPage="1" printArea="1">
      <pane xSplit="2" ySplit="6" topLeftCell="C61" activePane="bottomRight" state="frozen"/>
      <selection pane="bottomRight" activeCell="M66" sqref="M66"/>
      <pageMargins left="0.2" right="0.35" top="0.75" bottom="0.75" header="0.3" footer="0.3"/>
      <printOptions gridLines="1"/>
      <pageSetup scale="42" orientation="landscape" horizontalDpi="1200" r:id="rId5"/>
    </customSheetView>
    <customSheetView guid="{DE6E911D-85BF-467A-AA00-1E84C5349CF7}" showPageBreaks="1" fitToPage="1">
      <pane xSplit="1" topLeftCell="B1" activePane="topRight" state="frozen"/>
      <selection pane="topRight" activeCell="AG65" sqref="AG65"/>
      <pageMargins left="0.2" right="0.35" top="0.75" bottom="0.75" header="0.3" footer="0.3"/>
      <printOptions gridLines="1"/>
      <pageSetup paperSize="5" scale="33" orientation="landscape" r:id="rId6"/>
    </customSheetView>
  </customSheetViews>
  <phoneticPr fontId="0" type="noConversion"/>
  <printOptions gridLines="1"/>
  <pageMargins left="0.2" right="0.35" top="0.75" bottom="0.75" header="0.3" footer="0.3"/>
  <pageSetup paperSize="5" scale="33" orientation="landscape" horizontalDpi="1200" r:id="rId7"/>
  <drawing r:id="rId8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69"/>
  <sheetViews>
    <sheetView workbookViewId="0">
      <pane xSplit="1" ySplit="5" topLeftCell="B39" activePane="bottomRight" state="frozen"/>
      <selection pane="topRight" activeCell="B1" sqref="B1"/>
      <selection pane="bottomLeft" activeCell="A6" sqref="A6"/>
      <selection pane="bottomRight" activeCell="A4" sqref="A4"/>
    </sheetView>
  </sheetViews>
  <sheetFormatPr defaultRowHeight="15" x14ac:dyDescent="0.25"/>
  <cols>
    <col min="1" max="1" width="32.42578125" customWidth="1"/>
    <col min="2" max="2" width="13.5703125" style="17" bestFit="1" customWidth="1"/>
    <col min="3" max="3" width="15.7109375" style="17" bestFit="1" customWidth="1"/>
    <col min="4" max="4" width="12.7109375" style="17" customWidth="1"/>
    <col min="5" max="5" width="13.5703125" style="17" bestFit="1" customWidth="1"/>
    <col min="6" max="7" width="13.5703125" style="17" customWidth="1"/>
    <col min="8" max="8" width="13.5703125" style="17" bestFit="1" customWidth="1"/>
    <col min="9" max="10" width="11.85546875" style="6" customWidth="1"/>
    <col min="11" max="11" width="14" style="6" customWidth="1"/>
    <col min="12" max="13" width="11.140625" style="6" bestFit="1" customWidth="1"/>
    <col min="14" max="14" width="9.140625" style="6"/>
    <col min="15" max="15" width="13.5703125" style="6" bestFit="1" customWidth="1"/>
    <col min="16" max="16" width="12.7109375" bestFit="1" customWidth="1"/>
  </cols>
  <sheetData>
    <row r="1" spans="1:15" ht="23.25" x14ac:dyDescent="0.35">
      <c r="A1" s="5" t="s">
        <v>220</v>
      </c>
    </row>
    <row r="2" spans="1:15" x14ac:dyDescent="0.25">
      <c r="A2" t="s">
        <v>1</v>
      </c>
    </row>
    <row r="3" spans="1:15" x14ac:dyDescent="0.25">
      <c r="A3" s="1">
        <v>43435</v>
      </c>
      <c r="C3" s="17" t="s">
        <v>241</v>
      </c>
    </row>
    <row r="4" spans="1:15" x14ac:dyDescent="0.25">
      <c r="A4" s="1"/>
    </row>
    <row r="5" spans="1:15" ht="45" x14ac:dyDescent="0.25">
      <c r="A5" s="1"/>
      <c r="B5" s="18" t="s">
        <v>221</v>
      </c>
      <c r="C5" s="18" t="s">
        <v>222</v>
      </c>
      <c r="D5" s="18" t="s">
        <v>223</v>
      </c>
      <c r="E5" s="18" t="s">
        <v>295</v>
      </c>
      <c r="F5" s="18" t="s">
        <v>310</v>
      </c>
      <c r="G5" s="18" t="s">
        <v>311</v>
      </c>
      <c r="H5" s="18" t="s">
        <v>224</v>
      </c>
      <c r="I5" s="7"/>
      <c r="J5" s="7"/>
      <c r="K5" s="7"/>
      <c r="L5" s="7"/>
      <c r="M5" s="7"/>
      <c r="N5" s="7"/>
      <c r="O5" s="7"/>
    </row>
    <row r="7" spans="1:15" x14ac:dyDescent="0.25">
      <c r="A7" s="3" t="s">
        <v>2</v>
      </c>
    </row>
    <row r="8" spans="1:15" x14ac:dyDescent="0.25">
      <c r="A8" s="4" t="s">
        <v>3</v>
      </c>
      <c r="B8" s="21">
        <f>21878.14-1839-49553</f>
        <v>-29513.86</v>
      </c>
      <c r="C8" s="21">
        <v>280594.53000000003</v>
      </c>
      <c r="D8" s="21"/>
      <c r="E8" s="21"/>
      <c r="F8" s="21"/>
      <c r="G8" s="130">
        <f>E8+F8</f>
        <v>0</v>
      </c>
      <c r="H8" s="17">
        <f t="shared" ref="H8:H32" si="0">SUM(B8+C8+D8+G8)</f>
        <v>251080.67000000004</v>
      </c>
    </row>
    <row r="9" spans="1:15" x14ac:dyDescent="0.25">
      <c r="A9" s="4" t="s">
        <v>4</v>
      </c>
      <c r="B9" s="21">
        <v>0</v>
      </c>
      <c r="C9" s="21"/>
      <c r="D9" s="21"/>
      <c r="E9" s="21"/>
      <c r="F9" s="21"/>
      <c r="G9" s="25">
        <f t="shared" ref="G9:G65" si="1">E9+F9</f>
        <v>0</v>
      </c>
      <c r="H9" s="17">
        <f t="shared" si="0"/>
        <v>0</v>
      </c>
    </row>
    <row r="10" spans="1:15" x14ac:dyDescent="0.25">
      <c r="A10" s="4" t="s">
        <v>6</v>
      </c>
      <c r="B10" s="21">
        <v>69</v>
      </c>
      <c r="C10" s="21"/>
      <c r="D10" s="21"/>
      <c r="E10" s="21">
        <v>-69.22</v>
      </c>
      <c r="F10" s="21"/>
      <c r="G10" s="25">
        <f t="shared" si="1"/>
        <v>-69.22</v>
      </c>
      <c r="H10" s="17">
        <f t="shared" si="0"/>
        <v>-0.21999999999999886</v>
      </c>
    </row>
    <row r="11" spans="1:15" x14ac:dyDescent="0.25">
      <c r="A11" s="4" t="s">
        <v>5</v>
      </c>
      <c r="B11" s="21"/>
      <c r="C11" s="21"/>
      <c r="D11" s="21"/>
      <c r="E11" s="21"/>
      <c r="F11" s="21"/>
      <c r="G11" s="25">
        <f t="shared" si="1"/>
        <v>0</v>
      </c>
      <c r="H11" s="17">
        <f t="shared" si="0"/>
        <v>0</v>
      </c>
    </row>
    <row r="12" spans="1:15" x14ac:dyDescent="0.25">
      <c r="A12" s="4" t="s">
        <v>61</v>
      </c>
      <c r="B12" s="21"/>
      <c r="C12" s="21"/>
      <c r="D12" s="21"/>
      <c r="E12" s="21"/>
      <c r="F12" s="21"/>
      <c r="G12" s="25">
        <f t="shared" si="1"/>
        <v>0</v>
      </c>
      <c r="H12" s="17">
        <f t="shared" si="0"/>
        <v>0</v>
      </c>
    </row>
    <row r="13" spans="1:15" x14ac:dyDescent="0.25">
      <c r="A13" s="4" t="s">
        <v>359</v>
      </c>
      <c r="B13" s="21"/>
      <c r="C13" s="21">
        <f>415000-415000</f>
        <v>0</v>
      </c>
      <c r="D13" s="21"/>
      <c r="E13" s="21"/>
      <c r="F13" s="21"/>
      <c r="G13" s="25">
        <f t="shared" si="1"/>
        <v>0</v>
      </c>
      <c r="H13" s="17">
        <f>SUM(B13+C13+D13+G13)</f>
        <v>0</v>
      </c>
    </row>
    <row r="14" spans="1:15" x14ac:dyDescent="0.25">
      <c r="A14" s="2" t="s">
        <v>7</v>
      </c>
      <c r="B14" s="17">
        <f>SUM(B8:B13)</f>
        <v>-29444.86</v>
      </c>
      <c r="C14" s="17">
        <f>SUM(C8:C13)</f>
        <v>280594.53000000003</v>
      </c>
      <c r="D14" s="17">
        <f>SUM(D8:D13)</f>
        <v>0</v>
      </c>
      <c r="E14" s="17">
        <f>SUM(E8:E13)</f>
        <v>-69.22</v>
      </c>
      <c r="F14" s="17">
        <f>SUM(F8:F13)</f>
        <v>0</v>
      </c>
      <c r="G14" s="25">
        <f t="shared" si="1"/>
        <v>-69.22</v>
      </c>
      <c r="H14" s="17">
        <f t="shared" si="0"/>
        <v>251080.45000000004</v>
      </c>
    </row>
    <row r="15" spans="1:15" x14ac:dyDescent="0.25">
      <c r="G15" s="25"/>
    </row>
    <row r="16" spans="1:15" x14ac:dyDescent="0.25">
      <c r="A16" s="3" t="s">
        <v>8</v>
      </c>
      <c r="G16" s="25"/>
    </row>
    <row r="17" spans="1:8" x14ac:dyDescent="0.25">
      <c r="A17" s="4" t="s">
        <v>9</v>
      </c>
      <c r="B17" s="21"/>
      <c r="C17" s="21"/>
      <c r="D17" s="21"/>
      <c r="E17" s="21"/>
      <c r="F17" s="21"/>
      <c r="G17" s="25">
        <f t="shared" si="1"/>
        <v>0</v>
      </c>
      <c r="H17" s="17">
        <f t="shared" si="0"/>
        <v>0</v>
      </c>
    </row>
    <row r="18" spans="1:8" x14ac:dyDescent="0.25">
      <c r="A18" s="4" t="s">
        <v>10</v>
      </c>
      <c r="B18" s="21"/>
      <c r="C18" s="21"/>
      <c r="D18" s="21"/>
      <c r="E18" s="21"/>
      <c r="F18" s="21"/>
      <c r="G18" s="25">
        <f t="shared" si="1"/>
        <v>0</v>
      </c>
      <c r="H18" s="17">
        <f t="shared" si="0"/>
        <v>0</v>
      </c>
    </row>
    <row r="19" spans="1:8" x14ac:dyDescent="0.25">
      <c r="A19" s="4" t="s">
        <v>11</v>
      </c>
      <c r="B19" s="21"/>
      <c r="C19" s="21">
        <f>415000-415000</f>
        <v>0</v>
      </c>
      <c r="D19" s="21"/>
      <c r="E19" s="21"/>
      <c r="F19" s="21"/>
      <c r="G19" s="25">
        <f t="shared" si="1"/>
        <v>0</v>
      </c>
      <c r="H19" s="17">
        <f t="shared" si="0"/>
        <v>0</v>
      </c>
    </row>
    <row r="20" spans="1:8" x14ac:dyDescent="0.25">
      <c r="A20" s="4" t="s">
        <v>12</v>
      </c>
      <c r="B20" s="21"/>
      <c r="C20" s="21"/>
      <c r="D20" s="21"/>
      <c r="E20" s="21"/>
      <c r="F20" s="21"/>
      <c r="G20" s="25">
        <f t="shared" si="1"/>
        <v>0</v>
      </c>
      <c r="H20" s="17">
        <f t="shared" si="0"/>
        <v>0</v>
      </c>
    </row>
    <row r="21" spans="1:8" x14ac:dyDescent="0.25">
      <c r="A21" s="2" t="s">
        <v>13</v>
      </c>
      <c r="B21" s="17">
        <f>SUM(B17:B20)</f>
        <v>0</v>
      </c>
      <c r="C21" s="17">
        <f>SUM(C17:C20)</f>
        <v>0</v>
      </c>
      <c r="D21" s="17">
        <f>SUM(D17:D20)</f>
        <v>0</v>
      </c>
      <c r="E21" s="17">
        <f>SUM(E17:E20)</f>
        <v>0</v>
      </c>
      <c r="F21" s="17">
        <f>SUM(F17:F20)</f>
        <v>0</v>
      </c>
      <c r="G21" s="25">
        <f t="shared" si="1"/>
        <v>0</v>
      </c>
      <c r="H21" s="17">
        <f t="shared" si="0"/>
        <v>0</v>
      </c>
    </row>
    <row r="22" spans="1:8" x14ac:dyDescent="0.25">
      <c r="G22" s="25"/>
    </row>
    <row r="23" spans="1:8" x14ac:dyDescent="0.25">
      <c r="A23" s="76" t="s">
        <v>348</v>
      </c>
      <c r="G23" s="25"/>
    </row>
    <row r="24" spans="1:8" x14ac:dyDescent="0.25">
      <c r="A24" t="s">
        <v>353</v>
      </c>
      <c r="B24" s="21"/>
      <c r="C24" s="21"/>
      <c r="D24" s="21"/>
      <c r="E24" s="21"/>
      <c r="F24" s="21"/>
      <c r="G24" s="25">
        <f t="shared" si="1"/>
        <v>0</v>
      </c>
      <c r="H24" s="17">
        <f t="shared" si="0"/>
        <v>0</v>
      </c>
    </row>
    <row r="25" spans="1:8" x14ac:dyDescent="0.25">
      <c r="A25" t="s">
        <v>354</v>
      </c>
      <c r="B25" s="21"/>
      <c r="C25" s="21"/>
      <c r="D25" s="21"/>
      <c r="E25" s="21"/>
      <c r="F25" s="21"/>
      <c r="G25" s="25">
        <f t="shared" si="1"/>
        <v>0</v>
      </c>
      <c r="H25" s="17">
        <f t="shared" si="0"/>
        <v>0</v>
      </c>
    </row>
    <row r="26" spans="1:8" x14ac:dyDescent="0.25">
      <c r="A26" s="77" t="s">
        <v>355</v>
      </c>
      <c r="B26" s="17">
        <f>SUM(B24:B25)</f>
        <v>0</v>
      </c>
      <c r="C26" s="17">
        <f t="shared" ref="C26:F26" si="2">SUM(C24:C25)</f>
        <v>0</v>
      </c>
      <c r="D26" s="17">
        <f t="shared" si="2"/>
        <v>0</v>
      </c>
      <c r="E26" s="17">
        <f t="shared" si="2"/>
        <v>0</v>
      </c>
      <c r="F26" s="17">
        <f t="shared" si="2"/>
        <v>0</v>
      </c>
      <c r="G26" s="25">
        <f t="shared" si="1"/>
        <v>0</v>
      </c>
      <c r="H26" s="17">
        <f t="shared" si="0"/>
        <v>0</v>
      </c>
    </row>
    <row r="27" spans="1:8" x14ac:dyDescent="0.25">
      <c r="G27" s="25"/>
    </row>
    <row r="28" spans="1:8" x14ac:dyDescent="0.25">
      <c r="A28" s="3" t="s">
        <v>14</v>
      </c>
      <c r="G28" s="25"/>
    </row>
    <row r="29" spans="1:8" x14ac:dyDescent="0.25">
      <c r="A29" s="4" t="s">
        <v>15</v>
      </c>
      <c r="B29" s="21"/>
      <c r="C29" s="21"/>
      <c r="D29" s="21"/>
      <c r="E29" s="21"/>
      <c r="F29" s="21"/>
      <c r="G29" s="25">
        <f t="shared" si="1"/>
        <v>0</v>
      </c>
      <c r="H29" s="17">
        <f t="shared" si="0"/>
        <v>0</v>
      </c>
    </row>
    <row r="30" spans="1:8" x14ac:dyDescent="0.25">
      <c r="A30" s="4" t="s">
        <v>16</v>
      </c>
      <c r="B30" s="21"/>
      <c r="C30" s="21"/>
      <c r="D30" s="21"/>
      <c r="E30" s="21"/>
      <c r="F30" s="21"/>
      <c r="G30" s="25">
        <f t="shared" si="1"/>
        <v>0</v>
      </c>
      <c r="H30" s="17">
        <f t="shared" si="0"/>
        <v>0</v>
      </c>
    </row>
    <row r="31" spans="1:8" x14ac:dyDescent="0.25">
      <c r="A31" s="4" t="s">
        <v>17</v>
      </c>
      <c r="B31" s="21">
        <f>21878.14-1839-49553+69</f>
        <v>-29444.86</v>
      </c>
      <c r="C31" s="21">
        <v>280594.53000000003</v>
      </c>
      <c r="D31" s="21"/>
      <c r="E31" s="21">
        <v>-69.22</v>
      </c>
      <c r="F31" s="21"/>
      <c r="G31" s="25">
        <f t="shared" si="1"/>
        <v>-69.22</v>
      </c>
      <c r="H31" s="17">
        <f t="shared" si="0"/>
        <v>251080.45000000004</v>
      </c>
    </row>
    <row r="32" spans="1:8" x14ac:dyDescent="0.25">
      <c r="A32" s="2" t="s">
        <v>18</v>
      </c>
      <c r="B32" s="17">
        <f>SUM(B29:B31)</f>
        <v>-29444.86</v>
      </c>
      <c r="C32" s="17">
        <f>SUM(C29:C31)</f>
        <v>280594.53000000003</v>
      </c>
      <c r="D32" s="17">
        <f>SUM(D29:D31)</f>
        <v>0</v>
      </c>
      <c r="E32" s="17">
        <f>SUM(E29:E31)</f>
        <v>-69.22</v>
      </c>
      <c r="F32" s="17">
        <f>SUM(F29:F31)</f>
        <v>0</v>
      </c>
      <c r="G32" s="25">
        <f t="shared" si="1"/>
        <v>-69.22</v>
      </c>
      <c r="H32" s="17">
        <f t="shared" si="0"/>
        <v>251080.45000000004</v>
      </c>
    </row>
    <row r="33" spans="1:8" x14ac:dyDescent="0.25">
      <c r="G33" s="25"/>
    </row>
    <row r="34" spans="1:8" x14ac:dyDescent="0.25">
      <c r="A34" s="2" t="s">
        <v>19</v>
      </c>
      <c r="B34" s="17">
        <f>B21+B26+B32</f>
        <v>-29444.86</v>
      </c>
      <c r="C34" s="17">
        <f t="shared" ref="C34:H34" si="3">C21+C26+C32</f>
        <v>280594.53000000003</v>
      </c>
      <c r="D34" s="17">
        <f t="shared" si="3"/>
        <v>0</v>
      </c>
      <c r="E34" s="17">
        <f t="shared" si="3"/>
        <v>-69.22</v>
      </c>
      <c r="F34" s="17">
        <f t="shared" si="3"/>
        <v>0</v>
      </c>
      <c r="G34" s="17">
        <f t="shared" si="3"/>
        <v>-69.22</v>
      </c>
      <c r="H34" s="17">
        <f t="shared" si="3"/>
        <v>251080.45000000004</v>
      </c>
    </row>
    <row r="35" spans="1:8" x14ac:dyDescent="0.25">
      <c r="B35" s="60" t="str">
        <f>IF(B14=B34,"YES","NO")</f>
        <v>YES</v>
      </c>
      <c r="C35" s="60" t="str">
        <f>IF(C14=C34,"YES","NO")</f>
        <v>YES</v>
      </c>
      <c r="D35" s="60" t="str">
        <f>IF(D14=D34,"YES","NO")</f>
        <v>YES</v>
      </c>
      <c r="E35" s="60" t="str">
        <f>IF(E14=E34,"YES","NO")</f>
        <v>YES</v>
      </c>
      <c r="F35" s="60" t="str">
        <f t="shared" ref="F35:G35" si="4">IF(F14=F34,"YES","NO")</f>
        <v>YES</v>
      </c>
      <c r="G35" s="60" t="str">
        <f t="shared" si="4"/>
        <v>YES</v>
      </c>
      <c r="H35" s="60" t="str">
        <f>IF(H14=H34,"YES","NO")</f>
        <v>YES</v>
      </c>
    </row>
    <row r="36" spans="1:8" x14ac:dyDescent="0.25">
      <c r="A36" s="3" t="s">
        <v>20</v>
      </c>
      <c r="G36" s="25"/>
    </row>
    <row r="37" spans="1:8" x14ac:dyDescent="0.25">
      <c r="A37" s="4" t="s">
        <v>21</v>
      </c>
      <c r="B37" s="21"/>
      <c r="C37" s="21"/>
      <c r="D37" s="21"/>
      <c r="E37" s="21"/>
      <c r="F37" s="21"/>
      <c r="G37" s="25">
        <f t="shared" si="1"/>
        <v>0</v>
      </c>
      <c r="H37" s="17">
        <f>SUM(B37:F37)</f>
        <v>0</v>
      </c>
    </row>
    <row r="38" spans="1:8" x14ac:dyDescent="0.25">
      <c r="A38" s="4" t="s">
        <v>22</v>
      </c>
      <c r="B38" s="21"/>
      <c r="C38" s="21"/>
      <c r="D38" s="21"/>
      <c r="E38" s="21"/>
      <c r="F38" s="21"/>
      <c r="G38" s="25">
        <f t="shared" si="1"/>
        <v>0</v>
      </c>
      <c r="H38" s="17">
        <f t="shared" ref="H38:H69" si="5">SUM(B38:F38)</f>
        <v>0</v>
      </c>
    </row>
    <row r="39" spans="1:8" x14ac:dyDescent="0.25">
      <c r="A39" s="4" t="s">
        <v>117</v>
      </c>
      <c r="B39" s="21"/>
      <c r="C39" s="21"/>
      <c r="D39" s="21"/>
      <c r="E39" s="21"/>
      <c r="F39" s="21"/>
      <c r="G39" s="25">
        <f t="shared" si="1"/>
        <v>0</v>
      </c>
      <c r="H39" s="17">
        <f t="shared" si="5"/>
        <v>0</v>
      </c>
    </row>
    <row r="40" spans="1:8" x14ac:dyDescent="0.25">
      <c r="A40" s="4" t="s">
        <v>23</v>
      </c>
      <c r="B40" s="21"/>
      <c r="C40" s="21">
        <v>615.04999999999995</v>
      </c>
      <c r="D40" s="21"/>
      <c r="E40" s="21">
        <v>16.78</v>
      </c>
      <c r="F40" s="21"/>
      <c r="G40" s="25">
        <f t="shared" si="1"/>
        <v>16.78</v>
      </c>
      <c r="H40" s="17">
        <f t="shared" si="5"/>
        <v>631.82999999999993</v>
      </c>
    </row>
    <row r="41" spans="1:8" x14ac:dyDescent="0.25">
      <c r="A41" s="4" t="s">
        <v>117</v>
      </c>
      <c r="B41" s="21"/>
      <c r="C41" s="21"/>
      <c r="D41" s="21"/>
      <c r="E41" s="21"/>
      <c r="F41" s="21"/>
      <c r="G41" s="25">
        <f t="shared" ref="G41" si="6">E41+F41</f>
        <v>0</v>
      </c>
      <c r="H41" s="17">
        <f t="shared" ref="H41" si="7">SUM(B41:F41)</f>
        <v>0</v>
      </c>
    </row>
    <row r="42" spans="1:8" x14ac:dyDescent="0.25">
      <c r="A42" s="4" t="s">
        <v>24</v>
      </c>
      <c r="B42" s="21">
        <f>59992-59992</f>
        <v>0</v>
      </c>
      <c r="C42" s="21"/>
      <c r="D42" s="21"/>
      <c r="E42" s="21"/>
      <c r="F42" s="21"/>
      <c r="G42" s="25">
        <f t="shared" si="1"/>
        <v>0</v>
      </c>
      <c r="H42" s="17">
        <f t="shared" si="5"/>
        <v>0</v>
      </c>
    </row>
    <row r="43" spans="1:8" x14ac:dyDescent="0.25">
      <c r="A43" s="2" t="s">
        <v>25</v>
      </c>
      <c r="B43" s="17">
        <f t="shared" ref="B43:G43" si="8">SUM(B37:B42)</f>
        <v>0</v>
      </c>
      <c r="C43" s="17">
        <f t="shared" si="8"/>
        <v>615.04999999999995</v>
      </c>
      <c r="D43" s="17">
        <f t="shared" si="8"/>
        <v>0</v>
      </c>
      <c r="E43" s="17">
        <f t="shared" si="8"/>
        <v>16.78</v>
      </c>
      <c r="F43" s="17">
        <f t="shared" si="8"/>
        <v>0</v>
      </c>
      <c r="G43" s="17">
        <f t="shared" si="8"/>
        <v>16.78</v>
      </c>
      <c r="H43" s="17">
        <f t="shared" si="5"/>
        <v>631.82999999999993</v>
      </c>
    </row>
    <row r="44" spans="1:8" x14ac:dyDescent="0.25">
      <c r="G44" s="25"/>
    </row>
    <row r="45" spans="1:8" x14ac:dyDescent="0.25">
      <c r="A45" s="3" t="s">
        <v>26</v>
      </c>
      <c r="G45" s="25"/>
    </row>
    <row r="46" spans="1:8" x14ac:dyDescent="0.25">
      <c r="A46" s="4" t="s">
        <v>27</v>
      </c>
      <c r="B46" s="21">
        <v>9100</v>
      </c>
      <c r="C46" s="62"/>
      <c r="D46" s="21"/>
      <c r="E46" s="62"/>
      <c r="F46" s="21"/>
      <c r="G46" s="25">
        <f t="shared" si="1"/>
        <v>0</v>
      </c>
      <c r="H46" s="17">
        <f t="shared" si="5"/>
        <v>9100</v>
      </c>
    </row>
    <row r="47" spans="1:8" x14ac:dyDescent="0.25">
      <c r="A47" s="4" t="s">
        <v>28</v>
      </c>
      <c r="B47" s="21"/>
      <c r="C47" s="62"/>
      <c r="D47" s="21"/>
      <c r="E47" s="62"/>
      <c r="F47" s="21"/>
      <c r="G47" s="25">
        <f t="shared" si="1"/>
        <v>0</v>
      </c>
      <c r="H47" s="17">
        <f t="shared" si="5"/>
        <v>0</v>
      </c>
    </row>
    <row r="48" spans="1:8" x14ac:dyDescent="0.25">
      <c r="A48" s="4" t="s">
        <v>29</v>
      </c>
      <c r="B48" s="21"/>
      <c r="C48" s="62"/>
      <c r="D48" s="21"/>
      <c r="E48" s="62"/>
      <c r="F48" s="21"/>
      <c r="G48" s="25">
        <f t="shared" si="1"/>
        <v>0</v>
      </c>
      <c r="H48" s="17">
        <f t="shared" si="5"/>
        <v>0</v>
      </c>
    </row>
    <row r="49" spans="1:8" x14ac:dyDescent="0.25">
      <c r="A49" s="4" t="s">
        <v>30</v>
      </c>
      <c r="B49" s="21"/>
      <c r="C49" s="62"/>
      <c r="D49" s="21"/>
      <c r="E49" s="62"/>
      <c r="F49" s="21"/>
      <c r="G49" s="25">
        <f t="shared" si="1"/>
        <v>0</v>
      </c>
      <c r="H49" s="17">
        <f t="shared" si="5"/>
        <v>0</v>
      </c>
    </row>
    <row r="50" spans="1:8" x14ac:dyDescent="0.25">
      <c r="A50" s="4" t="s">
        <v>31</v>
      </c>
      <c r="B50" s="21"/>
      <c r="C50" s="62"/>
      <c r="D50" s="21"/>
      <c r="E50" s="62"/>
      <c r="F50" s="21"/>
      <c r="G50" s="25">
        <f t="shared" si="1"/>
        <v>0</v>
      </c>
      <c r="H50" s="17">
        <f t="shared" si="5"/>
        <v>0</v>
      </c>
    </row>
    <row r="51" spans="1:8" x14ac:dyDescent="0.25">
      <c r="A51" s="4" t="s">
        <v>62</v>
      </c>
      <c r="B51" s="21"/>
      <c r="C51" s="62"/>
      <c r="D51" s="21"/>
      <c r="E51" s="62"/>
      <c r="F51" s="21"/>
      <c r="G51" s="25">
        <f t="shared" si="1"/>
        <v>0</v>
      </c>
      <c r="H51" s="17">
        <f t="shared" si="5"/>
        <v>0</v>
      </c>
    </row>
    <row r="52" spans="1:8" x14ac:dyDescent="0.25">
      <c r="A52" s="4" t="s">
        <v>229</v>
      </c>
      <c r="B52" s="21"/>
      <c r="C52" s="62"/>
      <c r="D52" s="21"/>
      <c r="E52" s="62"/>
      <c r="F52" s="21"/>
      <c r="G52" s="25">
        <f t="shared" si="1"/>
        <v>0</v>
      </c>
      <c r="H52" s="17">
        <f t="shared" si="5"/>
        <v>0</v>
      </c>
    </row>
    <row r="53" spans="1:8" x14ac:dyDescent="0.25">
      <c r="A53" s="4" t="s">
        <v>203</v>
      </c>
      <c r="B53" s="21">
        <f>1839-1839+59992+49553-49553-59992</f>
        <v>0</v>
      </c>
      <c r="C53" s="62"/>
      <c r="D53" s="21"/>
      <c r="E53" s="62"/>
      <c r="F53" s="21"/>
      <c r="G53" s="25">
        <f t="shared" si="1"/>
        <v>0</v>
      </c>
      <c r="H53" s="17">
        <f t="shared" si="5"/>
        <v>0</v>
      </c>
    </row>
    <row r="54" spans="1:8" x14ac:dyDescent="0.25">
      <c r="A54" s="4" t="s">
        <v>149</v>
      </c>
      <c r="B54" s="21">
        <f>59992-9100</f>
        <v>50892</v>
      </c>
      <c r="C54" s="21">
        <v>717200</v>
      </c>
      <c r="D54" s="21"/>
      <c r="E54" s="21">
        <v>15300</v>
      </c>
      <c r="F54" s="21"/>
      <c r="G54" s="25">
        <f t="shared" si="1"/>
        <v>15300</v>
      </c>
      <c r="H54" s="17">
        <f t="shared" si="5"/>
        <v>783392</v>
      </c>
    </row>
    <row r="55" spans="1:8" x14ac:dyDescent="0.25">
      <c r="A55" s="2" t="s">
        <v>32</v>
      </c>
      <c r="B55" s="17">
        <f>SUM(B46:B54)</f>
        <v>59992</v>
      </c>
      <c r="C55" s="17">
        <f>SUM(C46:C54)</f>
        <v>717200</v>
      </c>
      <c r="D55" s="17">
        <f>SUM(D46:D54)</f>
        <v>0</v>
      </c>
      <c r="E55" s="17">
        <f>SUM(E46:E54)</f>
        <v>15300</v>
      </c>
      <c r="F55" s="17">
        <f>SUM(F46:F54)</f>
        <v>0</v>
      </c>
      <c r="G55" s="25">
        <f t="shared" si="1"/>
        <v>15300</v>
      </c>
      <c r="H55" s="17">
        <f t="shared" si="5"/>
        <v>792492</v>
      </c>
    </row>
    <row r="56" spans="1:8" x14ac:dyDescent="0.25">
      <c r="G56" s="25"/>
    </row>
    <row r="57" spans="1:8" x14ac:dyDescent="0.25">
      <c r="A57" s="2" t="s">
        <v>33</v>
      </c>
      <c r="B57" s="17">
        <f>B43-B55</f>
        <v>-59992</v>
      </c>
      <c r="C57" s="17">
        <f>C43-C55</f>
        <v>-716584.95</v>
      </c>
      <c r="D57" s="17">
        <f>D43-D55</f>
        <v>0</v>
      </c>
      <c r="E57" s="17">
        <f>E43-E55</f>
        <v>-15283.22</v>
      </c>
      <c r="F57" s="17">
        <f>F43-F55</f>
        <v>0</v>
      </c>
      <c r="G57" s="25">
        <f t="shared" si="1"/>
        <v>-15283.22</v>
      </c>
      <c r="H57" s="17">
        <f t="shared" si="5"/>
        <v>-791860.16999999993</v>
      </c>
    </row>
    <row r="58" spans="1:8" x14ac:dyDescent="0.25">
      <c r="G58" s="25"/>
    </row>
    <row r="59" spans="1:8" x14ac:dyDescent="0.25">
      <c r="A59" t="s">
        <v>301</v>
      </c>
      <c r="B59" s="21"/>
      <c r="C59" s="21"/>
      <c r="D59" s="21"/>
      <c r="E59" s="21"/>
      <c r="F59" s="21"/>
      <c r="G59" s="25">
        <f t="shared" si="1"/>
        <v>0</v>
      </c>
      <c r="H59" s="17">
        <f t="shared" si="5"/>
        <v>0</v>
      </c>
    </row>
    <row r="60" spans="1:8" x14ac:dyDescent="0.25">
      <c r="A60" t="s">
        <v>399</v>
      </c>
      <c r="B60" s="21">
        <v>59992</v>
      </c>
      <c r="C60" s="21"/>
      <c r="D60" s="21"/>
      <c r="E60" s="21"/>
      <c r="F60" s="21"/>
      <c r="G60" s="25">
        <f t="shared" si="1"/>
        <v>0</v>
      </c>
      <c r="H60" s="17">
        <f t="shared" si="5"/>
        <v>59992</v>
      </c>
    </row>
    <row r="61" spans="1:8" x14ac:dyDescent="0.25">
      <c r="A61" t="s">
        <v>375</v>
      </c>
      <c r="B61" s="21"/>
      <c r="C61" s="21"/>
      <c r="D61" s="21"/>
      <c r="E61" s="21"/>
      <c r="F61" s="21"/>
      <c r="G61" s="25">
        <f t="shared" si="1"/>
        <v>0</v>
      </c>
      <c r="H61" s="17">
        <f t="shared" si="5"/>
        <v>0</v>
      </c>
    </row>
    <row r="62" spans="1:8" x14ac:dyDescent="0.25">
      <c r="A62" t="s">
        <v>376</v>
      </c>
      <c r="B62" s="21"/>
      <c r="C62" s="21"/>
      <c r="D62" s="21"/>
      <c r="E62" s="21"/>
      <c r="F62" s="21"/>
      <c r="G62" s="25">
        <f t="shared" si="1"/>
        <v>0</v>
      </c>
      <c r="H62" s="17">
        <f t="shared" si="5"/>
        <v>0</v>
      </c>
    </row>
    <row r="63" spans="1:8" x14ac:dyDescent="0.25">
      <c r="A63" t="s">
        <v>34</v>
      </c>
      <c r="B63" s="21">
        <v>58349.8</v>
      </c>
      <c r="C63" s="21">
        <v>699150</v>
      </c>
      <c r="D63" s="21"/>
      <c r="E63" s="21">
        <v>64757.58</v>
      </c>
      <c r="F63" s="21"/>
      <c r="G63" s="25">
        <f t="shared" si="1"/>
        <v>64757.58</v>
      </c>
      <c r="H63" s="17">
        <f t="shared" si="5"/>
        <v>822257.38</v>
      </c>
    </row>
    <row r="64" spans="1:8" x14ac:dyDescent="0.25">
      <c r="A64" t="s">
        <v>35</v>
      </c>
      <c r="B64" s="21">
        <f>1839+49553</f>
        <v>51392</v>
      </c>
      <c r="C64" s="21"/>
      <c r="D64" s="21"/>
      <c r="E64" s="21">
        <v>58349.8</v>
      </c>
      <c r="F64" s="21"/>
      <c r="G64" s="25">
        <f t="shared" si="1"/>
        <v>58349.8</v>
      </c>
      <c r="H64" s="17">
        <f t="shared" si="5"/>
        <v>109741.8</v>
      </c>
    </row>
    <row r="65" spans="1:8" x14ac:dyDescent="0.25">
      <c r="A65" s="2" t="s">
        <v>36</v>
      </c>
      <c r="B65" s="17">
        <f>B59+B60+B61+B62+B63-B64</f>
        <v>66949.8</v>
      </c>
      <c r="C65" s="17">
        <f t="shared" ref="C65:F65" si="9">C59+C60+C61+C62+C63-C64</f>
        <v>699150</v>
      </c>
      <c r="D65" s="17">
        <f t="shared" si="9"/>
        <v>0</v>
      </c>
      <c r="E65" s="17">
        <f t="shared" si="9"/>
        <v>6407.7799999999988</v>
      </c>
      <c r="F65" s="17">
        <f t="shared" si="9"/>
        <v>0</v>
      </c>
      <c r="G65" s="25">
        <f t="shared" si="1"/>
        <v>6407.7799999999988</v>
      </c>
      <c r="H65" s="17">
        <f>H59+H60+H61+H62+H63-H64</f>
        <v>772507.58</v>
      </c>
    </row>
    <row r="66" spans="1:8" x14ac:dyDescent="0.25">
      <c r="G66" s="25"/>
    </row>
    <row r="67" spans="1:8" x14ac:dyDescent="0.25">
      <c r="A67" s="2" t="s">
        <v>37</v>
      </c>
      <c r="B67" s="17">
        <f>B57+B65</f>
        <v>6957.8000000000029</v>
      </c>
      <c r="C67" s="17">
        <f>C57+C65</f>
        <v>-17434.949999999953</v>
      </c>
      <c r="D67" s="17">
        <f>D57+D65</f>
        <v>0</v>
      </c>
      <c r="E67" s="17">
        <f>E57+E65</f>
        <v>-8875.44</v>
      </c>
      <c r="F67" s="17">
        <f t="shared" ref="F67:G67" si="10">F57+F65</f>
        <v>0</v>
      </c>
      <c r="G67" s="17">
        <f t="shared" si="10"/>
        <v>-8875.44</v>
      </c>
      <c r="H67" s="17">
        <f t="shared" si="5"/>
        <v>-19352.589999999953</v>
      </c>
    </row>
    <row r="68" spans="1:8" x14ac:dyDescent="0.25">
      <c r="A68" t="s">
        <v>38</v>
      </c>
      <c r="B68" s="17">
        <f>B69-B67</f>
        <v>-36402.660000000003</v>
      </c>
      <c r="C68" s="17">
        <f>C69-C67</f>
        <v>298029.48</v>
      </c>
      <c r="D68" s="17">
        <f>D69-D67</f>
        <v>0</v>
      </c>
      <c r="E68" s="17">
        <f>E69-E67</f>
        <v>8806.2200000000012</v>
      </c>
      <c r="F68" s="17">
        <f t="shared" ref="F68:G68" si="11">F69-F67</f>
        <v>0</v>
      </c>
      <c r="G68" s="17">
        <f t="shared" si="11"/>
        <v>8806.2200000000012</v>
      </c>
      <c r="H68" s="17">
        <f t="shared" si="5"/>
        <v>270433.03999999998</v>
      </c>
    </row>
    <row r="69" spans="1:8" x14ac:dyDescent="0.25">
      <c r="A69" s="2" t="s">
        <v>39</v>
      </c>
      <c r="B69" s="17">
        <f>B32</f>
        <v>-29444.86</v>
      </c>
      <c r="C69" s="17">
        <f>C32</f>
        <v>280594.53000000003</v>
      </c>
      <c r="D69" s="17">
        <f>D32</f>
        <v>0</v>
      </c>
      <c r="E69" s="17">
        <f>E32</f>
        <v>-69.22</v>
      </c>
      <c r="F69" s="17">
        <f t="shared" ref="F69:G69" si="12">F32</f>
        <v>0</v>
      </c>
      <c r="G69" s="17">
        <f t="shared" si="12"/>
        <v>-69.22</v>
      </c>
      <c r="H69" s="17">
        <f t="shared" si="5"/>
        <v>251080.45000000004</v>
      </c>
    </row>
  </sheetData>
  <customSheetViews>
    <customSheetView guid="{E68B3865-8D72-47E7-BE32-0FF7EB09E889}" fitToPage="1">
      <pane xSplit="1" ySplit="5" topLeftCell="B39" activePane="bottomRight" state="frozen"/>
      <selection pane="bottomRight" activeCell="A4" sqref="A4"/>
      <pageMargins left="0.7" right="0.7" top="0.75" bottom="0.75" header="0.3" footer="0.3"/>
      <pageSetup scale="56" orientation="landscape" r:id="rId1"/>
      <headerFooter alignWithMargins="0"/>
    </customSheetView>
    <customSheetView guid="{2B2709E2-6DF4-4CC4-88D0-056FB306137C}" fitToPage="1">
      <pane xSplit="1" ySplit="5" topLeftCell="B51" activePane="bottomRight" state="frozen"/>
      <selection pane="bottomRight" activeCell="C64" sqref="C64"/>
      <pageMargins left="0.7" right="0.7" top="0.75" bottom="0.75" header="0.3" footer="0.3"/>
      <pageSetup scale="56" orientation="landscape" r:id="rId2"/>
      <headerFooter alignWithMargins="0"/>
    </customSheetView>
    <customSheetView guid="{EC03C3C8-7E57-47C6-8413-F484E8C46A0C}" showPageBreaks="1" fitToPage="1">
      <pane xSplit="1" ySplit="5" topLeftCell="B47" activePane="bottomRight" state="frozen"/>
      <selection pane="bottomRight" activeCell="E53" sqref="E53"/>
      <pageMargins left="0.7" right="0.7" top="0.75" bottom="0.75" header="0.3" footer="0.3"/>
      <pageSetup scale="55" orientation="landscape" r:id="rId3"/>
      <headerFooter alignWithMargins="0"/>
    </customSheetView>
    <customSheetView guid="{D62C3EC3-27D1-41F3-9A4E-06307CA202CE}" showPageBreaks="1" fitToPage="1" showRuler="0">
      <pane xSplit="1" ySplit="5" topLeftCell="B30" activePane="bottomRight" state="frozen"/>
      <selection pane="bottomRight" activeCell="D45" sqref="D45"/>
      <pageMargins left="0.7" right="0.7" top="0.75" bottom="0.75" header="0.3" footer="0.3"/>
      <pageSetup scale="56" orientation="landscape" r:id="rId4"/>
      <headerFooter alignWithMargins="0"/>
    </customSheetView>
    <customSheetView guid="{A6F79E61-D6A3-44FD-B4A4-4724DF74349B}" showPageBreaks="1" fitToPage="1">
      <pane xSplit="1" ySplit="5" topLeftCell="B51" activePane="bottomRight" state="frozen"/>
      <selection pane="bottomRight" activeCell="H60" sqref="H60"/>
      <pageMargins left="0.7" right="0.7" top="0.75" bottom="0.75" header="0.3" footer="0.3"/>
      <pageSetup scale="48" orientation="landscape" r:id="rId5"/>
      <headerFooter alignWithMargins="0"/>
    </customSheetView>
    <customSheetView guid="{DE6E911D-85BF-467A-AA00-1E84C5349CF7}" showPageBreaks="1" fitToPage="1">
      <pane xSplit="1" ySplit="5" topLeftCell="B9" activePane="bottomRight" state="frozen"/>
      <selection pane="bottomRight" activeCell="B34" sqref="B34"/>
      <pageMargins left="0.7" right="0.7" top="0.75" bottom="0.75" header="0.3" footer="0.3"/>
      <pageSetup scale="65" orientation="portrait" r:id="rId6"/>
      <headerFooter alignWithMargins="0"/>
    </customSheetView>
  </customSheetViews>
  <phoneticPr fontId="0" type="noConversion"/>
  <pageMargins left="0.7" right="0.7" top="0.75" bottom="0.75" header="0.3" footer="0.3"/>
  <pageSetup scale="56" orientation="landscape" r:id="rId7"/>
  <headerFooter alignWithMargins="0"/>
  <legacyDrawing r:id="rId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workbookViewId="0">
      <pane xSplit="1" ySplit="5" topLeftCell="B18" activePane="bottomRight" state="frozen"/>
      <selection pane="topRight" activeCell="B1" sqref="B1"/>
      <selection pane="bottomLeft" activeCell="A6" sqref="A6"/>
      <selection pane="bottomRight" activeCell="A4" sqref="A4"/>
    </sheetView>
  </sheetViews>
  <sheetFormatPr defaultRowHeight="15" x14ac:dyDescent="0.25"/>
  <cols>
    <col min="1" max="1" width="32.7109375" customWidth="1"/>
    <col min="2" max="2" width="14.5703125" customWidth="1"/>
    <col min="3" max="3" width="11.85546875" bestFit="1" customWidth="1"/>
    <col min="4" max="4" width="15.42578125" customWidth="1"/>
    <col min="5" max="5" width="13.5703125" customWidth="1"/>
    <col min="6" max="6" width="15.140625" style="6" customWidth="1"/>
    <col min="7" max="7" width="14.28515625" customWidth="1"/>
    <col min="8" max="8" width="12.42578125" customWidth="1"/>
    <col min="9" max="9" width="12.85546875" customWidth="1"/>
    <col min="10" max="10" width="16.5703125" customWidth="1"/>
    <col min="11" max="11" width="10.85546875" bestFit="1" customWidth="1"/>
    <col min="12" max="13" width="12.7109375" bestFit="1" customWidth="1"/>
  </cols>
  <sheetData>
    <row r="1" spans="1:12" ht="23.25" x14ac:dyDescent="0.35">
      <c r="A1" s="5" t="s">
        <v>254</v>
      </c>
      <c r="B1" s="6"/>
      <c r="C1" s="6"/>
      <c r="D1" s="6"/>
    </row>
    <row r="2" spans="1:12" x14ac:dyDescent="0.25">
      <c r="A2" t="s">
        <v>1</v>
      </c>
      <c r="B2" s="6"/>
      <c r="C2" s="6"/>
      <c r="D2" s="6"/>
    </row>
    <row r="3" spans="1:12" x14ac:dyDescent="0.25">
      <c r="A3" s="1">
        <v>43435</v>
      </c>
      <c r="B3" s="6"/>
      <c r="C3" s="6"/>
      <c r="D3" s="6"/>
      <c r="G3" t="s">
        <v>313</v>
      </c>
      <c r="H3" t="s">
        <v>313</v>
      </c>
    </row>
    <row r="4" spans="1:12" x14ac:dyDescent="0.25">
      <c r="A4" s="1"/>
      <c r="B4" s="6"/>
      <c r="C4" s="6"/>
      <c r="D4" s="6"/>
      <c r="G4" t="s">
        <v>314</v>
      </c>
      <c r="H4" t="s">
        <v>314</v>
      </c>
    </row>
    <row r="5" spans="1:12" ht="45" x14ac:dyDescent="0.25">
      <c r="A5" s="1"/>
      <c r="B5" s="29" t="s">
        <v>253</v>
      </c>
      <c r="C5" s="29" t="s">
        <v>252</v>
      </c>
      <c r="D5" s="29" t="s">
        <v>251</v>
      </c>
      <c r="E5" s="27" t="s">
        <v>250</v>
      </c>
      <c r="F5" s="29" t="s">
        <v>249</v>
      </c>
      <c r="G5" s="27" t="s">
        <v>248</v>
      </c>
      <c r="H5" s="28" t="s">
        <v>247</v>
      </c>
      <c r="I5" s="27" t="s">
        <v>184</v>
      </c>
      <c r="J5" s="27" t="s">
        <v>246</v>
      </c>
      <c r="L5" s="27"/>
    </row>
    <row r="6" spans="1:12" x14ac:dyDescent="0.25">
      <c r="B6" s="6"/>
      <c r="C6" s="6"/>
      <c r="D6" s="6"/>
    </row>
    <row r="7" spans="1:12" x14ac:dyDescent="0.25">
      <c r="A7" s="3" t="s">
        <v>2</v>
      </c>
      <c r="B7" s="6"/>
      <c r="C7" s="6"/>
      <c r="D7" s="6"/>
    </row>
    <row r="8" spans="1:12" x14ac:dyDescent="0.25">
      <c r="A8" s="4" t="s">
        <v>3</v>
      </c>
      <c r="B8" s="6">
        <f>'AAA Funds'!F8</f>
        <v>589362.86</v>
      </c>
      <c r="C8" s="6">
        <f>'RSVP Funds'!F8</f>
        <v>18934.330000000002</v>
      </c>
      <c r="D8" s="6">
        <f>'CYS Funds'!R8</f>
        <v>-2962769.13</v>
      </c>
      <c r="E8" s="6">
        <f>'Substance Abuse'!I8</f>
        <v>346249.52</v>
      </c>
      <c r="F8" s="6">
        <f>'Mental Health Funds'!K8</f>
        <v>-275376.53999999992</v>
      </c>
      <c r="G8" s="55">
        <f>'Mental Retardation Funds'!N8</f>
        <v>1452244.5599999998</v>
      </c>
      <c r="H8" s="6">
        <f>'Human Services 1150'!D8</f>
        <v>-6321.03</v>
      </c>
      <c r="I8" s="6"/>
      <c r="J8" s="6">
        <f t="shared" ref="J8:J14" si="0">SUM(B8:I8)</f>
        <v>-837675.43000000017</v>
      </c>
    </row>
    <row r="9" spans="1:12" x14ac:dyDescent="0.25">
      <c r="A9" s="4" t="s">
        <v>189</v>
      </c>
      <c r="B9" s="6">
        <f>'AAA Funds'!F9</f>
        <v>0</v>
      </c>
      <c r="C9" s="6">
        <f>'RSVP Funds'!F9</f>
        <v>0</v>
      </c>
      <c r="D9" s="6">
        <f>'CYS Funds'!R9</f>
        <v>0</v>
      </c>
      <c r="E9" s="6">
        <f>'Substance Abuse'!I9</f>
        <v>0</v>
      </c>
      <c r="F9" s="6">
        <f>'Mental Health Funds'!K9</f>
        <v>0</v>
      </c>
      <c r="G9" s="6">
        <f>'Mental Retardation Funds'!N9</f>
        <v>0</v>
      </c>
      <c r="H9" s="6">
        <f>'Human Services 1150'!D9</f>
        <v>0</v>
      </c>
      <c r="I9" s="6"/>
      <c r="J9" s="6">
        <f t="shared" si="0"/>
        <v>0</v>
      </c>
    </row>
    <row r="10" spans="1:12" x14ac:dyDescent="0.25">
      <c r="A10" s="4" t="s">
        <v>4</v>
      </c>
      <c r="B10" s="6">
        <f>'AAA Funds'!F10</f>
        <v>677.00999999999476</v>
      </c>
      <c r="C10" s="6">
        <f>'RSVP Funds'!F10</f>
        <v>0</v>
      </c>
      <c r="D10" s="6">
        <f>'CYS Funds'!R10</f>
        <v>302779.06</v>
      </c>
      <c r="E10" s="6">
        <f>'Substance Abuse'!I10</f>
        <v>68538.170000000013</v>
      </c>
      <c r="F10" s="6">
        <f>'Mental Health Funds'!K10</f>
        <v>34411.019999999997</v>
      </c>
      <c r="G10" s="6">
        <f>'Mental Retardation Funds'!N10</f>
        <v>0</v>
      </c>
      <c r="H10" s="6">
        <f>'Human Services 1150'!D10</f>
        <v>9561</v>
      </c>
      <c r="I10" s="6"/>
      <c r="J10" s="6">
        <f t="shared" si="0"/>
        <v>415966.26</v>
      </c>
    </row>
    <row r="11" spans="1:12" x14ac:dyDescent="0.25">
      <c r="A11" s="4" t="s">
        <v>6</v>
      </c>
      <c r="B11" s="6">
        <f>'AAA Funds'!F11</f>
        <v>17402.95</v>
      </c>
      <c r="C11" s="6">
        <f>'RSVP Funds'!F11</f>
        <v>0</v>
      </c>
      <c r="D11" s="6">
        <f>'CYS Funds'!R11</f>
        <v>27840.1</v>
      </c>
      <c r="E11" s="6">
        <f>'Substance Abuse'!I11</f>
        <v>8399.57</v>
      </c>
      <c r="F11" s="6">
        <f>'Mental Health Funds'!K11</f>
        <v>14487.33</v>
      </c>
      <c r="G11" s="6">
        <f>'Mental Retardation Funds'!N11</f>
        <v>15770.57</v>
      </c>
      <c r="H11" s="6">
        <f>'Human Services 1150'!D11</f>
        <v>0</v>
      </c>
      <c r="I11" s="6"/>
      <c r="J11" s="6">
        <f t="shared" si="0"/>
        <v>83900.51999999999</v>
      </c>
    </row>
    <row r="12" spans="1:12" x14ac:dyDescent="0.25">
      <c r="A12" s="4" t="s">
        <v>5</v>
      </c>
      <c r="B12" s="6">
        <f>'AAA Funds'!F12</f>
        <v>104070.25</v>
      </c>
      <c r="C12" s="6">
        <f>'RSVP Funds'!F12</f>
        <v>0</v>
      </c>
      <c r="D12" s="6">
        <f>'CYS Funds'!R12</f>
        <v>3653428.51</v>
      </c>
      <c r="E12" s="6">
        <f>'Substance Abuse'!I12</f>
        <v>3651.29</v>
      </c>
      <c r="F12" s="6">
        <f>'Mental Health Funds'!K12</f>
        <v>437365.41000000003</v>
      </c>
      <c r="G12" s="6">
        <f>'Mental Retardation Funds'!N12</f>
        <v>26009</v>
      </c>
      <c r="H12" s="6">
        <f>'Human Services 1150'!D12</f>
        <v>0</v>
      </c>
      <c r="I12" s="6"/>
      <c r="J12" s="6">
        <f t="shared" si="0"/>
        <v>4224524.46</v>
      </c>
    </row>
    <row r="13" spans="1:12" x14ac:dyDescent="0.25">
      <c r="A13" s="4" t="s">
        <v>61</v>
      </c>
      <c r="B13" s="6">
        <f>'AAA Funds'!F13</f>
        <v>0</v>
      </c>
      <c r="C13" s="6">
        <f>'RSVP Funds'!F13</f>
        <v>0</v>
      </c>
      <c r="D13" s="6">
        <f>'CYS Funds'!R13</f>
        <v>0</v>
      </c>
      <c r="E13" s="6">
        <f>'Substance Abuse'!I13</f>
        <v>0</v>
      </c>
      <c r="F13" s="6">
        <f>'Mental Health Funds'!K13</f>
        <v>0</v>
      </c>
      <c r="G13" s="6">
        <f>'Mental Retardation Funds'!N13</f>
        <v>0</v>
      </c>
      <c r="H13" s="6">
        <f>'Human Services 1150'!D13</f>
        <v>0</v>
      </c>
      <c r="I13" s="6"/>
      <c r="J13" s="6">
        <f t="shared" si="0"/>
        <v>0</v>
      </c>
    </row>
    <row r="14" spans="1:12" x14ac:dyDescent="0.25">
      <c r="A14" s="2" t="s">
        <v>7</v>
      </c>
      <c r="B14" s="6">
        <f>'AAA Funds'!F14</f>
        <v>711513.07</v>
      </c>
      <c r="C14" s="6">
        <f>'RSVP Funds'!F14</f>
        <v>18934.330000000002</v>
      </c>
      <c r="D14" s="6">
        <f>'CYS Funds'!R14</f>
        <v>1021278.5399999997</v>
      </c>
      <c r="E14" s="6">
        <f>'Substance Abuse'!I14</f>
        <v>426838.55000000005</v>
      </c>
      <c r="F14" s="6">
        <f>'Mental Health Funds'!K14</f>
        <v>210887.22000000003</v>
      </c>
      <c r="G14" s="6">
        <f>'Mental Retardation Funds'!N14</f>
        <v>1494024.1300000001</v>
      </c>
      <c r="H14" s="6">
        <f>'Human Services 1150'!D14</f>
        <v>3239.9700000000003</v>
      </c>
      <c r="I14" s="6"/>
      <c r="J14" s="6">
        <f t="shared" si="0"/>
        <v>3886715.81</v>
      </c>
    </row>
    <row r="15" spans="1:12" x14ac:dyDescent="0.25">
      <c r="B15" s="6"/>
      <c r="C15" s="6"/>
      <c r="D15" s="6"/>
      <c r="E15" s="6"/>
      <c r="G15" s="6"/>
      <c r="H15" s="6"/>
      <c r="J15" s="6"/>
    </row>
    <row r="16" spans="1:12" x14ac:dyDescent="0.25">
      <c r="A16" s="3" t="s">
        <v>8</v>
      </c>
      <c r="B16" s="6"/>
      <c r="C16" s="6"/>
      <c r="D16" s="6"/>
      <c r="E16" s="6"/>
      <c r="G16" s="6"/>
      <c r="H16" s="6"/>
      <c r="J16" s="6"/>
    </row>
    <row r="17" spans="1:10" x14ac:dyDescent="0.25">
      <c r="A17" s="4" t="s">
        <v>9</v>
      </c>
      <c r="B17" s="6">
        <f>'AAA Funds'!F17</f>
        <v>83929.59</v>
      </c>
      <c r="C17" s="6">
        <f>'RSVP Funds'!F17</f>
        <v>0</v>
      </c>
      <c r="D17" s="6">
        <f>'CYS Funds'!R17</f>
        <v>696764.37</v>
      </c>
      <c r="E17" s="6">
        <f>'Substance Abuse'!I17</f>
        <v>42438.81</v>
      </c>
      <c r="F17" s="6">
        <f>'Mental Health Funds'!K17</f>
        <v>124754.75</v>
      </c>
      <c r="G17" s="6">
        <f>'Mental Retardation Funds'!N17</f>
        <v>56756.899999999994</v>
      </c>
      <c r="H17" s="6">
        <f>'Human Services 1150'!D17</f>
        <v>274.43</v>
      </c>
      <c r="J17" s="6">
        <f t="shared" ref="J17:J22" si="1">SUM(B17:I17)</f>
        <v>1004918.8500000001</v>
      </c>
    </row>
    <row r="18" spans="1:10" x14ac:dyDescent="0.25">
      <c r="A18" s="4" t="s">
        <v>10</v>
      </c>
      <c r="B18" s="6">
        <f>'AAA Funds'!F18</f>
        <v>59027.16</v>
      </c>
      <c r="C18" s="6">
        <f>'RSVP Funds'!F18</f>
        <v>0</v>
      </c>
      <c r="D18" s="6">
        <f>'CYS Funds'!R18</f>
        <v>127943.49</v>
      </c>
      <c r="E18" s="6">
        <f>'Substance Abuse'!I18</f>
        <v>23395.23</v>
      </c>
      <c r="F18" s="6">
        <f>'Mental Health Funds'!K18</f>
        <v>46070.65</v>
      </c>
      <c r="G18" s="6">
        <f>'Mental Retardation Funds'!N18</f>
        <v>28014.86</v>
      </c>
      <c r="H18" s="6">
        <f>'Human Services 1150'!D18</f>
        <v>2965.22</v>
      </c>
      <c r="J18" s="6">
        <f t="shared" si="1"/>
        <v>287416.61</v>
      </c>
    </row>
    <row r="19" spans="1:10" x14ac:dyDescent="0.25">
      <c r="A19" s="4" t="s">
        <v>190</v>
      </c>
      <c r="B19" s="6">
        <f>'AAA Funds'!F19</f>
        <v>0</v>
      </c>
      <c r="C19" s="6">
        <f>'RSVP Funds'!F19</f>
        <v>0</v>
      </c>
      <c r="D19" s="6">
        <f>'CYS Funds'!R19</f>
        <v>160355</v>
      </c>
      <c r="E19" s="6">
        <f>'Substance Abuse'!I19</f>
        <v>0</v>
      </c>
      <c r="F19" s="6">
        <f>'Mental Health Funds'!K19</f>
        <v>0</v>
      </c>
      <c r="G19" s="6">
        <f>'Mental Retardation Funds'!N19</f>
        <v>0</v>
      </c>
      <c r="H19" s="6">
        <f>'Human Services 1150'!D19</f>
        <v>0</v>
      </c>
      <c r="J19" s="6">
        <f t="shared" si="1"/>
        <v>160355</v>
      </c>
    </row>
    <row r="20" spans="1:10" x14ac:dyDescent="0.25">
      <c r="A20" s="4" t="s">
        <v>11</v>
      </c>
      <c r="B20" s="6">
        <f>'AAA Funds'!F20</f>
        <v>0</v>
      </c>
      <c r="C20" s="6">
        <f>'RSVP Funds'!F20</f>
        <v>0</v>
      </c>
      <c r="D20" s="6">
        <f>'CYS Funds'!R20</f>
        <v>0</v>
      </c>
      <c r="E20" s="6">
        <f>'Substance Abuse'!I20</f>
        <v>0</v>
      </c>
      <c r="F20" s="6">
        <f>'Mental Health Funds'!K20</f>
        <v>0</v>
      </c>
      <c r="G20" s="6">
        <f>'Mental Retardation Funds'!N20</f>
        <v>0</v>
      </c>
      <c r="H20" s="6">
        <f>'Human Services 1150'!D20</f>
        <v>0</v>
      </c>
      <c r="J20" s="6">
        <f t="shared" si="1"/>
        <v>0</v>
      </c>
    </row>
    <row r="21" spans="1:10" x14ac:dyDescent="0.25">
      <c r="A21" s="4" t="s">
        <v>12</v>
      </c>
      <c r="B21" s="6">
        <f>'AAA Funds'!F21</f>
        <v>568557.03</v>
      </c>
      <c r="C21" s="6">
        <f>'RSVP Funds'!F21</f>
        <v>327.41000000000003</v>
      </c>
      <c r="D21" s="6">
        <f>'CYS Funds'!R21</f>
        <v>0</v>
      </c>
      <c r="E21" s="6">
        <f>'Substance Abuse'!I21</f>
        <v>65436.53</v>
      </c>
      <c r="F21" s="6">
        <f>'Mental Health Funds'!K21</f>
        <v>40059.75</v>
      </c>
      <c r="G21" s="6">
        <f>'Mental Retardation Funds'!N21</f>
        <v>1409250.9100000001</v>
      </c>
      <c r="H21" s="6">
        <f>'Human Services 1150'!D21</f>
        <v>0</v>
      </c>
      <c r="J21" s="6">
        <f t="shared" si="1"/>
        <v>2083631.6300000004</v>
      </c>
    </row>
    <row r="22" spans="1:10" x14ac:dyDescent="0.25">
      <c r="A22" s="2" t="s">
        <v>13</v>
      </c>
      <c r="B22" s="6">
        <f>'AAA Funds'!F22</f>
        <v>711513.78</v>
      </c>
      <c r="C22" s="6">
        <f>'RSVP Funds'!F22</f>
        <v>327.41000000000003</v>
      </c>
      <c r="D22" s="6">
        <f>'CYS Funds'!R22</f>
        <v>985062.86</v>
      </c>
      <c r="E22" s="6">
        <f>'Substance Abuse'!I22</f>
        <v>131270.57</v>
      </c>
      <c r="F22" s="6">
        <f>'Mental Health Funds'!K22</f>
        <v>210885.15</v>
      </c>
      <c r="G22" s="6">
        <f>'Mental Retardation Funds'!N22</f>
        <v>1494022.6700000002</v>
      </c>
      <c r="H22" s="6">
        <f>'Human Services 1150'!D22</f>
        <v>3239.6499999999996</v>
      </c>
      <c r="I22" s="6">
        <f>SUM(I17:I21)</f>
        <v>0</v>
      </c>
      <c r="J22" s="6">
        <f t="shared" si="1"/>
        <v>3536322.0900000003</v>
      </c>
    </row>
    <row r="23" spans="1:10" x14ac:dyDescent="0.25">
      <c r="B23" s="6"/>
      <c r="C23" s="6"/>
      <c r="D23" s="6"/>
      <c r="E23" s="6"/>
      <c r="G23" s="6"/>
      <c r="H23" s="6"/>
      <c r="J23" s="6"/>
    </row>
    <row r="24" spans="1:10" x14ac:dyDescent="0.25">
      <c r="A24" s="3" t="s">
        <v>14</v>
      </c>
      <c r="B24" s="6"/>
      <c r="C24" s="6"/>
      <c r="D24" s="6"/>
      <c r="E24" s="6"/>
      <c r="G24" s="6"/>
      <c r="H24" s="6"/>
      <c r="J24" s="6"/>
    </row>
    <row r="25" spans="1:10" x14ac:dyDescent="0.25">
      <c r="A25" s="4" t="s">
        <v>15</v>
      </c>
      <c r="B25" s="6">
        <f>'AAA Funds'!F25</f>
        <v>0</v>
      </c>
      <c r="C25" s="6">
        <f>'RSVP Funds'!F25</f>
        <v>18606.919999999998</v>
      </c>
      <c r="D25" s="6">
        <f>'CYS Funds'!R25</f>
        <v>36215.68</v>
      </c>
      <c r="E25" s="6">
        <f>'Substance Abuse'!I25</f>
        <v>0</v>
      </c>
      <c r="F25" s="6">
        <f>'Mental Health Funds'!K25</f>
        <v>0</v>
      </c>
      <c r="G25" s="6">
        <f>'Mental Retardation Funds'!N25</f>
        <v>0</v>
      </c>
      <c r="H25" s="6">
        <f>'Human Services 1150'!D25</f>
        <v>0</v>
      </c>
      <c r="J25" s="6">
        <f>SUM(B25:I25)</f>
        <v>54822.6</v>
      </c>
    </row>
    <row r="26" spans="1:10" x14ac:dyDescent="0.25">
      <c r="A26" s="4" t="s">
        <v>16</v>
      </c>
      <c r="B26" s="6">
        <f>'AAA Funds'!F26</f>
        <v>0</v>
      </c>
      <c r="C26" s="6">
        <f>'RSVP Funds'!F26</f>
        <v>0</v>
      </c>
      <c r="D26" s="6">
        <f>'CYS Funds'!R26</f>
        <v>0</v>
      </c>
      <c r="E26" s="6">
        <f>'Substance Abuse'!I26</f>
        <v>0</v>
      </c>
      <c r="F26" s="6">
        <f>'Mental Health Funds'!K26</f>
        <v>0</v>
      </c>
      <c r="G26" s="6">
        <f>'Mental Retardation Funds'!N26</f>
        <v>0</v>
      </c>
      <c r="H26" s="6">
        <f>'Human Services 1150'!D26</f>
        <v>0</v>
      </c>
      <c r="J26" s="6">
        <f>SUM(B26:I26)</f>
        <v>0</v>
      </c>
    </row>
    <row r="27" spans="1:10" x14ac:dyDescent="0.25">
      <c r="A27" s="4" t="s">
        <v>17</v>
      </c>
      <c r="B27" s="6">
        <f>'AAA Funds'!F27</f>
        <v>-0.71000000002095476</v>
      </c>
      <c r="C27" s="6">
        <f>'RSVP Funds'!F27</f>
        <v>0</v>
      </c>
      <c r="D27" s="6">
        <f>'CYS Funds'!R27</f>
        <v>0</v>
      </c>
      <c r="E27" s="6">
        <f>'Substance Abuse'!I27</f>
        <v>295567.98</v>
      </c>
      <c r="F27" s="6">
        <f>'Mental Health Funds'!K27</f>
        <v>2.069999999992433</v>
      </c>
      <c r="G27" s="6">
        <f>'Mental Retardation Funds'!N27</f>
        <v>1.4600000000589353</v>
      </c>
      <c r="H27" s="6">
        <f>'Human Services 1150'!D27</f>
        <v>0.31999999999999318</v>
      </c>
      <c r="J27" s="6">
        <f>SUM(B27:I27)</f>
        <v>295571.12000000005</v>
      </c>
    </row>
    <row r="28" spans="1:10" x14ac:dyDescent="0.25">
      <c r="A28" s="2" t="s">
        <v>18</v>
      </c>
      <c r="B28" s="6">
        <f>'AAA Funds'!F28</f>
        <v>-0.71000000002095476</v>
      </c>
      <c r="C28" s="6">
        <f>'RSVP Funds'!F28</f>
        <v>18606.919999999998</v>
      </c>
      <c r="D28" s="6">
        <f>'CYS Funds'!R28</f>
        <v>36215.68</v>
      </c>
      <c r="E28" s="6">
        <f>'Substance Abuse'!I28</f>
        <v>295567.98</v>
      </c>
      <c r="F28" s="6">
        <f>'Mental Health Funds'!K28</f>
        <v>2.069999999992433</v>
      </c>
      <c r="G28" s="6">
        <f>'Mental Retardation Funds'!N28</f>
        <v>1.4600000000589353</v>
      </c>
      <c r="H28" s="6">
        <f>SUM(H25:H27)</f>
        <v>0.31999999999999318</v>
      </c>
      <c r="I28">
        <f>SUM(I25:I27)</f>
        <v>0</v>
      </c>
      <c r="J28" s="6">
        <f>SUM(B28:I28)</f>
        <v>350393.72000000003</v>
      </c>
    </row>
    <row r="29" spans="1:10" x14ac:dyDescent="0.25">
      <c r="B29" s="6"/>
      <c r="C29" s="6"/>
      <c r="D29" s="6"/>
      <c r="E29" s="6"/>
      <c r="G29" s="6"/>
      <c r="H29" s="6"/>
      <c r="J29" s="6"/>
    </row>
    <row r="30" spans="1:10" x14ac:dyDescent="0.25">
      <c r="A30" s="2" t="s">
        <v>19</v>
      </c>
      <c r="B30" s="6">
        <f>'AAA Funds'!F30</f>
        <v>711513.07000000007</v>
      </c>
      <c r="C30" s="6">
        <f>'RSVP Funds'!F30</f>
        <v>18934.329999999998</v>
      </c>
      <c r="D30" s="6">
        <f>'CYS Funds'!R30</f>
        <v>1021278.5399999999</v>
      </c>
      <c r="E30" s="6">
        <f>'Substance Abuse'!I30</f>
        <v>426838.55000000005</v>
      </c>
      <c r="F30" s="6">
        <f>'Mental Health Funds'!K30</f>
        <v>210887.22</v>
      </c>
      <c r="G30" s="6">
        <f>'Mental Retardation Funds'!N30</f>
        <v>1494024.1300000004</v>
      </c>
      <c r="H30" s="6">
        <f>H22+H28</f>
        <v>3239.97</v>
      </c>
      <c r="I30" s="6">
        <f>'Human Services 1150'!E30</f>
        <v>0</v>
      </c>
      <c r="J30" s="6">
        <f>SUM(B30:I30)</f>
        <v>3886715.810000001</v>
      </c>
    </row>
    <row r="31" spans="1:10" x14ac:dyDescent="0.25">
      <c r="B31" s="55" t="str">
        <f>IF(B14=B30,"YES","NO")</f>
        <v>YES</v>
      </c>
      <c r="C31" s="55" t="str">
        <f t="shared" ref="C31:H31" si="2">IF(C14=C30,"YES","NO")</f>
        <v>YES</v>
      </c>
      <c r="D31" s="55" t="str">
        <f t="shared" si="2"/>
        <v>YES</v>
      </c>
      <c r="E31" s="55" t="str">
        <f t="shared" si="2"/>
        <v>YES</v>
      </c>
      <c r="F31" s="55" t="str">
        <f t="shared" si="2"/>
        <v>YES</v>
      </c>
      <c r="G31" s="55" t="str">
        <f t="shared" si="2"/>
        <v>YES</v>
      </c>
      <c r="H31" s="55" t="str">
        <f t="shared" si="2"/>
        <v>YES</v>
      </c>
      <c r="I31" s="55" t="str">
        <f>IF(I14=I30,"YES","NO")</f>
        <v>YES</v>
      </c>
      <c r="J31" s="55" t="str">
        <f>IF(J14=J30,"YES","NO")</f>
        <v>YES</v>
      </c>
    </row>
    <row r="32" spans="1:10" x14ac:dyDescent="0.25">
      <c r="A32" s="3" t="s">
        <v>20</v>
      </c>
      <c r="B32" s="6"/>
      <c r="C32" s="6"/>
      <c r="D32" s="6"/>
      <c r="E32" s="6"/>
      <c r="G32" s="6"/>
      <c r="H32" s="6"/>
      <c r="J32" s="6"/>
    </row>
    <row r="33" spans="1:11" x14ac:dyDescent="0.25">
      <c r="A33" s="4" t="s">
        <v>21</v>
      </c>
      <c r="B33" s="6">
        <f>'AAA Funds'!F33</f>
        <v>2019293.62</v>
      </c>
      <c r="C33" s="6">
        <f>'RSVP Funds'!F33</f>
        <v>0</v>
      </c>
      <c r="D33" s="6">
        <f>'CYS Funds'!R33</f>
        <v>8500582.370000001</v>
      </c>
      <c r="E33" s="6">
        <f>'Substance Abuse'!I33</f>
        <v>969014.04</v>
      </c>
      <c r="F33" s="6">
        <f>'Mental Health Funds'!K33</f>
        <v>3197413.06</v>
      </c>
      <c r="G33" s="6">
        <f>'Mental Retardation Funds'!N33</f>
        <v>1928479.42</v>
      </c>
      <c r="H33" s="17">
        <f>'Human Services 1150'!D33</f>
        <v>75513.52</v>
      </c>
      <c r="I33" s="34"/>
      <c r="J33" s="17">
        <f t="shared" ref="J33:J38" si="3">SUM(B33:I33)</f>
        <v>16690296.030000001</v>
      </c>
      <c r="K33" s="34"/>
    </row>
    <row r="34" spans="1:11" x14ac:dyDescent="0.25">
      <c r="A34" s="4" t="s">
        <v>22</v>
      </c>
      <c r="B34" s="17">
        <f>'AAA Funds'!F34</f>
        <v>120</v>
      </c>
      <c r="C34" s="17">
        <f>'RSVP Funds'!F34</f>
        <v>0</v>
      </c>
      <c r="D34" s="17">
        <f>'CYS Funds'!R34</f>
        <v>115063.74</v>
      </c>
      <c r="E34" s="17">
        <f>'Substance Abuse'!I34</f>
        <v>0</v>
      </c>
      <c r="F34" s="17">
        <f>'Mental Health Funds'!K34</f>
        <v>0</v>
      </c>
      <c r="G34" s="17">
        <f>'Mental Retardation Funds'!N34</f>
        <v>5054.1499999999996</v>
      </c>
      <c r="H34" s="17">
        <f>'Human Services 1150'!D34</f>
        <v>0</v>
      </c>
      <c r="I34" s="34"/>
      <c r="J34" s="17">
        <f t="shared" si="3"/>
        <v>120237.89</v>
      </c>
      <c r="K34" s="34"/>
    </row>
    <row r="35" spans="1:11" x14ac:dyDescent="0.25">
      <c r="A35" s="4" t="s">
        <v>202</v>
      </c>
      <c r="B35" s="17">
        <f>'AAA Funds'!F35</f>
        <v>0</v>
      </c>
      <c r="C35" s="17">
        <f>'RSVP Funds'!F35</f>
        <v>0</v>
      </c>
      <c r="D35" s="17">
        <f>'CYS Funds'!R35</f>
        <v>0</v>
      </c>
      <c r="E35" s="17">
        <f>'Substance Abuse'!I35</f>
        <v>215287.80000000002</v>
      </c>
      <c r="F35" s="17">
        <f>'Mental Health Funds'!K35</f>
        <v>6.9121597334742546E-11</v>
      </c>
      <c r="G35" s="17">
        <f>'Mental Retardation Funds'!N35</f>
        <v>0</v>
      </c>
      <c r="H35" s="17">
        <f>'Human Services 1150'!D35</f>
        <v>0</v>
      </c>
      <c r="I35" s="34"/>
      <c r="J35" s="17">
        <f t="shared" si="3"/>
        <v>215287.80000000008</v>
      </c>
      <c r="K35" s="34"/>
    </row>
    <row r="36" spans="1:11" x14ac:dyDescent="0.25">
      <c r="A36" s="4" t="s">
        <v>23</v>
      </c>
      <c r="B36" s="17">
        <f>'AAA Funds'!F36</f>
        <v>1347.04</v>
      </c>
      <c r="C36" s="17">
        <f>'RSVP Funds'!F36</f>
        <v>19.55</v>
      </c>
      <c r="D36" s="17">
        <f>'CYS Funds'!R36</f>
        <v>111.53</v>
      </c>
      <c r="E36" s="17">
        <f>'Substance Abuse'!I36</f>
        <v>814.06000000000006</v>
      </c>
      <c r="F36" s="17">
        <f>'Mental Health Funds'!K36</f>
        <v>63.75</v>
      </c>
      <c r="G36" s="17">
        <f>'Mental Retardation Funds'!N36</f>
        <v>3153.3300000000004</v>
      </c>
      <c r="H36" s="17">
        <f>'Human Services 1150'!D36</f>
        <v>0</v>
      </c>
      <c r="I36" s="34"/>
      <c r="J36" s="17">
        <f t="shared" si="3"/>
        <v>5509.26</v>
      </c>
      <c r="K36" s="34"/>
    </row>
    <row r="37" spans="1:11" x14ac:dyDescent="0.25">
      <c r="A37" s="4" t="s">
        <v>24</v>
      </c>
      <c r="B37" s="17">
        <f>'AAA Funds'!F37</f>
        <v>1285</v>
      </c>
      <c r="C37" s="17">
        <f>'RSVP Funds'!F37</f>
        <v>0</v>
      </c>
      <c r="D37" s="17">
        <f>'CYS Funds'!R37</f>
        <v>177060.5</v>
      </c>
      <c r="E37" s="17">
        <f>'Substance Abuse'!I37</f>
        <v>2500</v>
      </c>
      <c r="F37" s="17">
        <f>'Mental Health Funds'!K37</f>
        <v>27103.58</v>
      </c>
      <c r="G37" s="17">
        <f>'Mental Retardation Funds'!N37</f>
        <v>6570.67</v>
      </c>
      <c r="H37" s="17">
        <f>'Human Services 1150'!D37</f>
        <v>0</v>
      </c>
      <c r="I37" s="34"/>
      <c r="J37" s="17">
        <f t="shared" si="3"/>
        <v>214519.75000000003</v>
      </c>
      <c r="K37" s="34"/>
    </row>
    <row r="38" spans="1:11" x14ac:dyDescent="0.25">
      <c r="A38" s="2" t="s">
        <v>25</v>
      </c>
      <c r="B38" s="17">
        <f>'AAA Funds'!F38</f>
        <v>2022045.6600000001</v>
      </c>
      <c r="C38" s="17">
        <f>'RSVP Funds'!F38</f>
        <v>19.55</v>
      </c>
      <c r="D38" s="17">
        <f>'CYS Funds'!R38</f>
        <v>8792818.1400000006</v>
      </c>
      <c r="E38" s="17">
        <f>'Substance Abuse'!I38</f>
        <v>1187615.9000000001</v>
      </c>
      <c r="F38" s="17">
        <f>'Mental Health Funds'!K38</f>
        <v>3224580.39</v>
      </c>
      <c r="G38" s="17">
        <f>'Mental Retardation Funds'!N38</f>
        <v>1943257.5699999998</v>
      </c>
      <c r="H38" s="17">
        <f>'Human Services 1150'!D38</f>
        <v>75513.52</v>
      </c>
      <c r="I38" s="34"/>
      <c r="J38" s="17">
        <f t="shared" si="3"/>
        <v>17245850.73</v>
      </c>
      <c r="K38" s="34"/>
    </row>
    <row r="39" spans="1:11" x14ac:dyDescent="0.25">
      <c r="B39" s="17"/>
      <c r="C39" s="17"/>
      <c r="D39" s="17"/>
      <c r="E39" s="17"/>
      <c r="F39" s="17"/>
      <c r="G39" s="17"/>
      <c r="H39" s="17"/>
      <c r="I39" s="34"/>
      <c r="J39" s="17"/>
      <c r="K39" s="34"/>
    </row>
    <row r="40" spans="1:11" x14ac:dyDescent="0.25">
      <c r="A40" s="3" t="s">
        <v>26</v>
      </c>
      <c r="B40" s="17"/>
      <c r="C40" s="17"/>
      <c r="D40" s="17"/>
      <c r="E40" s="17"/>
      <c r="F40" s="17"/>
      <c r="G40" s="17"/>
      <c r="H40" s="17"/>
      <c r="I40" s="34"/>
      <c r="J40" s="17"/>
      <c r="K40" s="34"/>
    </row>
    <row r="41" spans="1:11" x14ac:dyDescent="0.25">
      <c r="A41" s="4" t="s">
        <v>27</v>
      </c>
      <c r="B41" s="17">
        <f>'AAA Funds'!F41</f>
        <v>0</v>
      </c>
      <c r="C41" s="17">
        <f>'RSVP Funds'!F41</f>
        <v>0</v>
      </c>
      <c r="D41" s="17">
        <f>'CYS Funds'!R41</f>
        <v>0</v>
      </c>
      <c r="E41" s="17">
        <f>'Substance Abuse'!I41</f>
        <v>0</v>
      </c>
      <c r="F41" s="17">
        <f>'Mental Health Funds'!K41</f>
        <v>0</v>
      </c>
      <c r="G41" s="17">
        <f>'Mental Retardation Funds'!N41</f>
        <v>0</v>
      </c>
      <c r="H41" s="17">
        <f>'Human Services 1150'!D41</f>
        <v>0</v>
      </c>
      <c r="I41" s="34"/>
      <c r="J41" s="17">
        <f t="shared" ref="J41:J47" si="4">SUM(B41:I41)</f>
        <v>0</v>
      </c>
      <c r="K41" s="34"/>
    </row>
    <row r="42" spans="1:11" x14ac:dyDescent="0.25">
      <c r="A42" s="4" t="s">
        <v>28</v>
      </c>
      <c r="B42" s="17">
        <f>'AAA Funds'!F42</f>
        <v>0</v>
      </c>
      <c r="C42" s="17">
        <f>'RSVP Funds'!F42</f>
        <v>0</v>
      </c>
      <c r="D42" s="17">
        <f>'CYS Funds'!R42</f>
        <v>0</v>
      </c>
      <c r="E42" s="17">
        <f>'Substance Abuse'!I42</f>
        <v>0</v>
      </c>
      <c r="F42" s="17">
        <f>'Mental Health Funds'!K42</f>
        <v>0</v>
      </c>
      <c r="G42" s="17">
        <f>'Mental Retardation Funds'!N42</f>
        <v>0</v>
      </c>
      <c r="H42" s="17">
        <f>'Human Services 1150'!D42</f>
        <v>0</v>
      </c>
      <c r="I42" s="34"/>
      <c r="J42" s="17">
        <f t="shared" si="4"/>
        <v>0</v>
      </c>
      <c r="K42" s="34"/>
    </row>
    <row r="43" spans="1:11" x14ac:dyDescent="0.25">
      <c r="A43" s="4" t="s">
        <v>29</v>
      </c>
      <c r="B43" s="17">
        <f>'AAA Funds'!F43</f>
        <v>0</v>
      </c>
      <c r="C43" s="17">
        <f>'RSVP Funds'!F43</f>
        <v>0</v>
      </c>
      <c r="D43" s="17">
        <f>'CYS Funds'!R43</f>
        <v>0</v>
      </c>
      <c r="E43" s="17">
        <f>'Substance Abuse'!I43</f>
        <v>0</v>
      </c>
      <c r="F43" s="17">
        <f>'Mental Health Funds'!K43</f>
        <v>0</v>
      </c>
      <c r="G43" s="17">
        <f>'Mental Retardation Funds'!N43</f>
        <v>0</v>
      </c>
      <c r="H43" s="17">
        <f>'Human Services 1150'!D43</f>
        <v>0</v>
      </c>
      <c r="I43" s="34"/>
      <c r="J43" s="17">
        <f t="shared" si="4"/>
        <v>0</v>
      </c>
      <c r="K43" s="34"/>
    </row>
    <row r="44" spans="1:11" x14ac:dyDescent="0.25">
      <c r="A44" s="4" t="s">
        <v>30</v>
      </c>
      <c r="B44" s="17">
        <f>'AAA Funds'!F44</f>
        <v>0</v>
      </c>
      <c r="C44" s="17">
        <f>'RSVP Funds'!F44</f>
        <v>0</v>
      </c>
      <c r="D44" s="17">
        <f>'CYS Funds'!R44</f>
        <v>0</v>
      </c>
      <c r="E44" s="17">
        <f>'Substance Abuse'!I44</f>
        <v>0</v>
      </c>
      <c r="F44" s="17">
        <f>'Mental Health Funds'!K44</f>
        <v>0</v>
      </c>
      <c r="G44" s="17">
        <f>'Mental Retardation Funds'!N44</f>
        <v>0</v>
      </c>
      <c r="H44" s="17">
        <f>'Human Services 1150'!D44</f>
        <v>0</v>
      </c>
      <c r="I44" s="34"/>
      <c r="J44" s="17">
        <f t="shared" si="4"/>
        <v>0</v>
      </c>
      <c r="K44" s="34"/>
    </row>
    <row r="45" spans="1:11" x14ac:dyDescent="0.25">
      <c r="A45" s="4" t="s">
        <v>31</v>
      </c>
      <c r="B45" s="17">
        <f>'AAA Funds'!F45</f>
        <v>1955878.34</v>
      </c>
      <c r="C45" s="17">
        <f>'RSVP Funds'!F45</f>
        <v>10710.13</v>
      </c>
      <c r="D45" s="17">
        <f>'CYS Funds'!R45</f>
        <v>9528834.1499999985</v>
      </c>
      <c r="E45" s="17">
        <f>'Substance Abuse'!I45</f>
        <v>1162634.8299999998</v>
      </c>
      <c r="F45" s="17">
        <f>'Mental Health Funds'!K45</f>
        <v>3043310.43</v>
      </c>
      <c r="G45" s="17">
        <f>'Mental Retardation Funds'!N45</f>
        <v>1826611.15</v>
      </c>
      <c r="H45" s="17">
        <f>'Human Services 1150'!D45</f>
        <v>75513.53</v>
      </c>
      <c r="I45" s="34"/>
      <c r="J45" s="17">
        <f t="shared" si="4"/>
        <v>17603492.559999999</v>
      </c>
      <c r="K45" s="34"/>
    </row>
    <row r="46" spans="1:11" x14ac:dyDescent="0.25">
      <c r="A46" s="4" t="s">
        <v>62</v>
      </c>
      <c r="B46" s="17">
        <f>'AAA Funds'!F46</f>
        <v>0</v>
      </c>
      <c r="C46" s="17">
        <f>'RSVP Funds'!F46</f>
        <v>0</v>
      </c>
      <c r="D46" s="17">
        <f>'CYS Funds'!R46</f>
        <v>0</v>
      </c>
      <c r="E46" s="17">
        <f>'Substance Abuse'!I46</f>
        <v>0</v>
      </c>
      <c r="F46" s="17">
        <f>'Mental Health Funds'!K46</f>
        <v>0</v>
      </c>
      <c r="G46" s="17">
        <f>'Mental Retardation Funds'!N46</f>
        <v>0</v>
      </c>
      <c r="H46" s="17">
        <f>'Human Services 1150'!D46</f>
        <v>0</v>
      </c>
      <c r="I46" s="34"/>
      <c r="J46" s="17">
        <f t="shared" si="4"/>
        <v>0</v>
      </c>
      <c r="K46" s="34"/>
    </row>
    <row r="47" spans="1:11" x14ac:dyDescent="0.25">
      <c r="A47" s="2" t="s">
        <v>32</v>
      </c>
      <c r="B47" s="17">
        <f>'AAA Funds'!F47</f>
        <v>1955878.34</v>
      </c>
      <c r="C47" s="17">
        <f>'RSVP Funds'!F47</f>
        <v>10710.13</v>
      </c>
      <c r="D47" s="17">
        <f>'CYS Funds'!R47</f>
        <v>9528834.1499999985</v>
      </c>
      <c r="E47" s="17">
        <f>'Substance Abuse'!I47</f>
        <v>1162634.8299999998</v>
      </c>
      <c r="F47" s="17">
        <f>'Mental Health Funds'!K47</f>
        <v>3043310.43</v>
      </c>
      <c r="G47" s="17">
        <f>'Mental Retardation Funds'!N47</f>
        <v>1826611.15</v>
      </c>
      <c r="H47" s="17">
        <f>'Human Services 1150'!D47</f>
        <v>75513.53</v>
      </c>
      <c r="I47" s="34"/>
      <c r="J47" s="17">
        <f t="shared" si="4"/>
        <v>17603492.559999999</v>
      </c>
      <c r="K47" s="34"/>
    </row>
    <row r="48" spans="1:11" x14ac:dyDescent="0.25">
      <c r="B48" s="17"/>
      <c r="C48" s="17"/>
      <c r="D48" s="17"/>
      <c r="E48" s="17"/>
      <c r="F48" s="17"/>
      <c r="G48" s="17"/>
      <c r="H48" s="17"/>
      <c r="I48" s="34"/>
      <c r="J48" s="17"/>
      <c r="K48" s="34"/>
    </row>
    <row r="49" spans="1:11" x14ac:dyDescent="0.25">
      <c r="A49" s="2" t="s">
        <v>33</v>
      </c>
      <c r="B49" s="17">
        <f>'AAA Funds'!F49</f>
        <v>66167.320000000065</v>
      </c>
      <c r="C49" s="17">
        <f>'RSVP Funds'!F49</f>
        <v>-10690.58</v>
      </c>
      <c r="D49" s="17">
        <f>'CYS Funds'!R49</f>
        <v>-736016.00999999908</v>
      </c>
      <c r="E49" s="17">
        <f>'Substance Abuse'!I49</f>
        <v>24981.070000000149</v>
      </c>
      <c r="F49" s="17">
        <f>'Mental Health Funds'!K49</f>
        <v>181269.96000000008</v>
      </c>
      <c r="G49" s="17">
        <f>'Mental Retardation Funds'!N49</f>
        <v>116646.41999999993</v>
      </c>
      <c r="H49" s="17">
        <f>'Human Services 1150'!D49</f>
        <v>-9.9999999947613105E-3</v>
      </c>
      <c r="I49" s="34"/>
      <c r="J49" s="17">
        <f>SUM(B49:I49)</f>
        <v>-357641.82999999879</v>
      </c>
      <c r="K49" s="34"/>
    </row>
    <row r="50" spans="1:11" x14ac:dyDescent="0.25">
      <c r="A50" s="2"/>
      <c r="B50" s="6"/>
      <c r="C50" s="6"/>
      <c r="D50" s="6"/>
      <c r="E50" s="6"/>
      <c r="G50" s="6"/>
      <c r="H50" s="6"/>
      <c r="J50" s="6"/>
    </row>
    <row r="51" spans="1:11" x14ac:dyDescent="0.25">
      <c r="A51" s="39" t="s">
        <v>301</v>
      </c>
      <c r="B51" s="6">
        <f>'AAA Funds'!F51</f>
        <v>1407</v>
      </c>
      <c r="C51" s="6">
        <f>'RSVP Funds'!F51</f>
        <v>0</v>
      </c>
      <c r="D51" s="6">
        <f>'CYS Funds'!R51</f>
        <v>5043</v>
      </c>
      <c r="E51" s="6">
        <f>'Substance Abuse'!I51</f>
        <v>0</v>
      </c>
      <c r="F51" s="6">
        <f>'Mental Health Funds'!K51</f>
        <v>0</v>
      </c>
      <c r="G51" s="6">
        <f>'Mental Retardation Funds'!N51</f>
        <v>3420</v>
      </c>
      <c r="H51" s="6">
        <f>'Human Services 1150'!D51</f>
        <v>0</v>
      </c>
      <c r="J51" s="6">
        <f>SUM(B51:I51)</f>
        <v>9870</v>
      </c>
    </row>
    <row r="52" spans="1:11" x14ac:dyDescent="0.25">
      <c r="A52" t="s">
        <v>34</v>
      </c>
      <c r="B52" s="6">
        <f>'AAA Funds'!F52</f>
        <v>58825.729999999996</v>
      </c>
      <c r="C52" s="6">
        <f>'RSVP Funds'!F52</f>
        <v>0</v>
      </c>
      <c r="D52" s="6">
        <f>'CYS Funds'!R52</f>
        <v>1149996</v>
      </c>
      <c r="E52" s="6">
        <f>'Substance Abuse'!I52</f>
        <v>53175.1</v>
      </c>
      <c r="F52" s="6">
        <f>'Mental Health Funds'!K52</f>
        <v>9525.85</v>
      </c>
      <c r="G52" s="6">
        <f>'Mental Retardation Funds'!N52</f>
        <v>49200.32</v>
      </c>
      <c r="H52" s="6">
        <f>'Human Services 1150'!D52</f>
        <v>0</v>
      </c>
      <c r="J52" s="6">
        <f>SUM(B52:I52)</f>
        <v>1320723.0000000002</v>
      </c>
    </row>
    <row r="53" spans="1:11" x14ac:dyDescent="0.25">
      <c r="A53" t="s">
        <v>35</v>
      </c>
      <c r="B53" s="6">
        <f>'AAA Funds'!F53</f>
        <v>126400.74</v>
      </c>
      <c r="C53" s="6">
        <f>'RSVP Funds'!F53</f>
        <v>-10710.27</v>
      </c>
      <c r="D53" s="6">
        <f>'CYS Funds'!R53</f>
        <v>419529.28</v>
      </c>
      <c r="E53" s="6">
        <f>'Substance Abuse'!I53</f>
        <v>101071.22</v>
      </c>
      <c r="F53" s="6">
        <f>'Mental Health Funds'!K53</f>
        <v>190794.80999999997</v>
      </c>
      <c r="G53" s="6">
        <f>'Mental Retardation Funds'!N53</f>
        <v>169267.09999999998</v>
      </c>
      <c r="H53" s="6">
        <f>'Human Services 1150'!D53</f>
        <v>0</v>
      </c>
      <c r="J53" s="6">
        <f>SUM(B53:I53)</f>
        <v>996352.87999999989</v>
      </c>
    </row>
    <row r="54" spans="1:11" x14ac:dyDescent="0.25">
      <c r="A54" s="2" t="s">
        <v>36</v>
      </c>
      <c r="B54" s="6">
        <f>'AAA Funds'!F54</f>
        <v>-66168.010000000009</v>
      </c>
      <c r="C54" s="6">
        <f>'RSVP Funds'!F54</f>
        <v>10710.27</v>
      </c>
      <c r="D54" s="6">
        <f>'CYS Funds'!R54</f>
        <v>735509.72</v>
      </c>
      <c r="E54" s="6">
        <f>'Substance Abuse'!I54</f>
        <v>-47896.12</v>
      </c>
      <c r="F54" s="6">
        <f>'Mental Health Funds'!K54</f>
        <v>-181268.96</v>
      </c>
      <c r="G54" s="6">
        <f>'Mental Retardation Funds'!N54</f>
        <v>-116646.77999999998</v>
      </c>
      <c r="H54" s="6">
        <f>'Human Services 1150'!D54</f>
        <v>0</v>
      </c>
      <c r="J54" s="6">
        <f>SUM(B54:I54)</f>
        <v>334240.12000000005</v>
      </c>
    </row>
    <row r="55" spans="1:11" x14ac:dyDescent="0.25">
      <c r="B55" s="6"/>
      <c r="C55" s="6"/>
      <c r="D55" s="6"/>
      <c r="E55" s="6"/>
      <c r="G55" s="6"/>
      <c r="H55" s="6"/>
      <c r="J55" s="6"/>
    </row>
    <row r="56" spans="1:11" x14ac:dyDescent="0.25">
      <c r="A56" s="2" t="s">
        <v>37</v>
      </c>
      <c r="B56" s="6">
        <f>'AAA Funds'!F56</f>
        <v>-0.68999999994412065</v>
      </c>
      <c r="C56" s="6">
        <f>'RSVP Funds'!F56</f>
        <v>19.690000000001238</v>
      </c>
      <c r="D56" s="6">
        <f>'CYS Funds'!R56</f>
        <v>-506.28999999905943</v>
      </c>
      <c r="E56" s="6">
        <f>'Substance Abuse'!I56</f>
        <v>-22915.049999999854</v>
      </c>
      <c r="F56" s="6">
        <f>'Mental Health Funds'!K56</f>
        <v>1.0000000000909495</v>
      </c>
      <c r="G56" s="6">
        <f>'Mental Retardation Funds'!N56</f>
        <v>-0.36000000000989529</v>
      </c>
      <c r="H56" s="6">
        <f>'Human Services 1150'!D56</f>
        <v>-9.9999999947613105E-3</v>
      </c>
      <c r="J56" s="6">
        <f>J49+J54</f>
        <v>-23401.70999999874</v>
      </c>
    </row>
    <row r="57" spans="1:11" x14ac:dyDescent="0.25">
      <c r="A57" t="s">
        <v>38</v>
      </c>
      <c r="B57" s="6">
        <f>'AAA Funds'!F57</f>
        <v>-2.0000000076834112E-2</v>
      </c>
      <c r="C57" s="6">
        <f>'RSVP Funds'!F57</f>
        <v>18587.229999999996</v>
      </c>
      <c r="D57" s="6">
        <f>'CYS Funds'!R57</f>
        <v>36721.969999999063</v>
      </c>
      <c r="E57" s="6">
        <f>'Substance Abuse'!I57</f>
        <v>318483.02999999985</v>
      </c>
      <c r="F57" s="6">
        <f>'Mental Health Funds'!K57</f>
        <v>1.0699999999014835</v>
      </c>
      <c r="G57" s="6">
        <f>'Mental Retardation Funds'!N57</f>
        <v>1.8200000000688306</v>
      </c>
      <c r="H57" s="6">
        <f>'Human Services 1150'!D57</f>
        <v>0.32999999999475449</v>
      </c>
      <c r="J57" s="6">
        <f>J58-J56</f>
        <v>373795.42999999877</v>
      </c>
    </row>
    <row r="58" spans="1:11" x14ac:dyDescent="0.25">
      <c r="A58" s="2" t="s">
        <v>39</v>
      </c>
      <c r="B58" s="6">
        <f>'AAA Funds'!F58</f>
        <v>-0.71000000002095476</v>
      </c>
      <c r="C58" s="6">
        <f>'RSVP Funds'!F58</f>
        <v>18606.919999999998</v>
      </c>
      <c r="D58" s="6">
        <f>'CYS Funds'!R58</f>
        <v>36215.68</v>
      </c>
      <c r="E58" s="6">
        <f>'Substance Abuse'!I58</f>
        <v>295567.98</v>
      </c>
      <c r="F58" s="6">
        <f>'Mental Health Funds'!K58</f>
        <v>2.069999999992433</v>
      </c>
      <c r="G58" s="6">
        <f>'Mental Retardation Funds'!N58</f>
        <v>1.4600000000589353</v>
      </c>
      <c r="H58" s="6">
        <f>'Human Services 1150'!D58</f>
        <v>0.31999999999999318</v>
      </c>
      <c r="J58" s="6">
        <f>J28</f>
        <v>350393.72000000003</v>
      </c>
    </row>
  </sheetData>
  <customSheetViews>
    <customSheetView guid="{E68B3865-8D72-47E7-BE32-0FF7EB09E889}" fitToPage="1">
      <pane xSplit="1" ySplit="5" topLeftCell="B18" activePane="bottomRight" state="frozen"/>
      <selection pane="bottomRight" activeCell="A4" sqref="A4"/>
      <pageMargins left="0.7" right="0.7" top="0.75" bottom="0.75" header="0.3" footer="0.3"/>
      <pageSetup scale="66" orientation="portrait" horizontalDpi="1200" r:id="rId1"/>
    </customSheetView>
    <customSheetView guid="{2B2709E2-6DF4-4CC4-88D0-056FB306137C}" fitToPage="1">
      <pane xSplit="1" ySplit="5" topLeftCell="B33" activePane="bottomRight" state="frozen"/>
      <selection pane="bottomRight" activeCell="C57" sqref="C57"/>
      <pageMargins left="0.7" right="0.7" top="0.75" bottom="0.75" header="0.3" footer="0.3"/>
      <pageSetup scale="66" orientation="portrait" horizontalDpi="1200" r:id="rId2"/>
    </customSheetView>
    <customSheetView guid="{EC03C3C8-7E57-47C6-8413-F484E8C46A0C}" showPageBreaks="1" fitToPage="1">
      <pane xSplit="1" ySplit="5" topLeftCell="B45" activePane="bottomRight" state="frozen"/>
      <selection pane="bottomRight" activeCell="I52" sqref="I52"/>
      <pageMargins left="0.7" right="0.7" top="0.75" bottom="0.75" header="0.3" footer="0.3"/>
      <pageSetup scale="57" orientation="portrait" horizontalDpi="1200" r:id="rId3"/>
    </customSheetView>
    <customSheetView guid="{A6F79E61-D6A3-44FD-B4A4-4724DF74349B}" showPageBreaks="1" fitToPage="1">
      <pane xSplit="1" ySplit="5" topLeftCell="B15" activePane="bottomRight" state="frozen"/>
      <selection pane="bottomRight" activeCell="D18" sqref="D18"/>
      <pageMargins left="0.7" right="0.7" top="0.75" bottom="0.75" header="0.3" footer="0.3"/>
      <pageSetup scale="57" orientation="portrait" horizontalDpi="1200" r:id="rId4"/>
    </customSheetView>
    <customSheetView guid="{DE6E911D-85BF-467A-AA00-1E84C5349CF7}" showPageBreaks="1" fitToPage="1">
      <pane xSplit="1" ySplit="5" topLeftCell="B9" activePane="bottomRight" state="frozen"/>
      <selection pane="bottomRight" activeCell="J27" sqref="J27"/>
      <pageMargins left="0.7" right="0.7" top="0.75" bottom="0.75" header="0.3" footer="0.3"/>
      <pageSetup scale="56" orientation="portrait" horizontalDpi="1200" r:id="rId5"/>
    </customSheetView>
  </customSheetViews>
  <pageMargins left="0.7" right="0.7" top="0.75" bottom="0.75" header="0.3" footer="0.3"/>
  <pageSetup scale="66" orientation="portrait" horizontalDpi="1200" r:id="rId6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58"/>
  <sheetViews>
    <sheetView topLeftCell="A22" workbookViewId="0">
      <selection activeCell="A4" sqref="A4"/>
    </sheetView>
  </sheetViews>
  <sheetFormatPr defaultRowHeight="15" outlineLevelCol="1" x14ac:dyDescent="0.25"/>
  <cols>
    <col min="1" max="1" width="31" customWidth="1"/>
    <col min="2" max="2" width="13.7109375" style="6" customWidth="1" outlineLevel="1"/>
    <col min="3" max="3" width="12.7109375" style="6" customWidth="1" outlineLevel="1"/>
    <col min="4" max="4" width="13.5703125" style="6" bestFit="1" customWidth="1"/>
    <col min="5" max="5" width="11.85546875" style="6" bestFit="1" customWidth="1"/>
    <col min="6" max="6" width="13.5703125" style="6" bestFit="1" customWidth="1"/>
    <col min="7" max="8" width="11.85546875" style="6" customWidth="1"/>
    <col min="9" max="9" width="14" style="6" customWidth="1"/>
    <col min="10" max="11" width="11.140625" style="6" bestFit="1" customWidth="1"/>
    <col min="12" max="12" width="9.140625" style="6"/>
    <col min="13" max="13" width="13.5703125" style="6" bestFit="1" customWidth="1"/>
    <col min="14" max="14" width="12.7109375" bestFit="1" customWidth="1"/>
  </cols>
  <sheetData>
    <row r="1" spans="1:13" ht="23.25" x14ac:dyDescent="0.35">
      <c r="A1" s="5" t="s">
        <v>253</v>
      </c>
    </row>
    <row r="2" spans="1:13" x14ac:dyDescent="0.25">
      <c r="A2" t="s">
        <v>1</v>
      </c>
    </row>
    <row r="3" spans="1:13" x14ac:dyDescent="0.25">
      <c r="A3" s="1">
        <v>43435</v>
      </c>
    </row>
    <row r="4" spans="1:13" x14ac:dyDescent="0.25">
      <c r="A4" s="1"/>
    </row>
    <row r="5" spans="1:13" ht="30" x14ac:dyDescent="0.25">
      <c r="A5" s="1"/>
      <c r="B5" s="7" t="s">
        <v>280</v>
      </c>
      <c r="C5" s="7" t="s">
        <v>47</v>
      </c>
      <c r="D5" s="7" t="s">
        <v>279</v>
      </c>
      <c r="E5" s="7" t="s">
        <v>278</v>
      </c>
      <c r="F5" s="18" t="s">
        <v>277</v>
      </c>
      <c r="G5" s="7"/>
      <c r="H5" s="7"/>
      <c r="I5" s="7"/>
      <c r="J5" s="7"/>
      <c r="K5" s="7"/>
      <c r="L5" s="7"/>
      <c r="M5" s="7"/>
    </row>
    <row r="6" spans="1:13" x14ac:dyDescent="0.25">
      <c r="F6" s="17"/>
    </row>
    <row r="7" spans="1:13" x14ac:dyDescent="0.25">
      <c r="A7" s="3" t="s">
        <v>2</v>
      </c>
      <c r="F7" s="17"/>
    </row>
    <row r="8" spans="1:13" x14ac:dyDescent="0.25">
      <c r="A8" s="4" t="s">
        <v>3</v>
      </c>
      <c r="B8" s="21">
        <v>600073.13</v>
      </c>
      <c r="C8" s="21">
        <f>-21420.54+10710.27</f>
        <v>-10710.27</v>
      </c>
      <c r="D8" s="6">
        <f t="shared" ref="D8:D13" si="0">B8+C8</f>
        <v>589362.86</v>
      </c>
      <c r="E8" s="21"/>
      <c r="F8" s="17">
        <f t="shared" ref="F8:F14" si="1">D8+E8</f>
        <v>589362.86</v>
      </c>
      <c r="G8" s="55"/>
    </row>
    <row r="9" spans="1:13" x14ac:dyDescent="0.25">
      <c r="A9" s="4" t="s">
        <v>189</v>
      </c>
      <c r="B9" s="21"/>
      <c r="C9" s="21"/>
      <c r="D9" s="6">
        <f t="shared" si="0"/>
        <v>0</v>
      </c>
      <c r="E9" s="21"/>
      <c r="F9" s="17">
        <f t="shared" si="1"/>
        <v>0</v>
      </c>
    </row>
    <row r="10" spans="1:13" x14ac:dyDescent="0.25">
      <c r="A10" s="4" t="s">
        <v>4</v>
      </c>
      <c r="B10" s="21">
        <f>104747.26-104070.25</f>
        <v>677.00999999999476</v>
      </c>
      <c r="C10" s="21"/>
      <c r="D10" s="6">
        <f t="shared" si="0"/>
        <v>677.00999999999476</v>
      </c>
      <c r="E10" s="21"/>
      <c r="F10" s="17">
        <f t="shared" si="1"/>
        <v>677.00999999999476</v>
      </c>
    </row>
    <row r="11" spans="1:13" x14ac:dyDescent="0.25">
      <c r="A11" s="4" t="s">
        <v>6</v>
      </c>
      <c r="B11" s="21">
        <v>17402.95</v>
      </c>
      <c r="C11" s="21"/>
      <c r="D11" s="6">
        <f t="shared" si="0"/>
        <v>17402.95</v>
      </c>
      <c r="E11" s="21"/>
      <c r="F11" s="17">
        <f t="shared" si="1"/>
        <v>17402.95</v>
      </c>
    </row>
    <row r="12" spans="1:13" x14ac:dyDescent="0.25">
      <c r="A12" s="4" t="s">
        <v>5</v>
      </c>
      <c r="B12" s="21">
        <v>104070.25</v>
      </c>
      <c r="C12" s="21"/>
      <c r="D12" s="6">
        <f t="shared" si="0"/>
        <v>104070.25</v>
      </c>
      <c r="E12" s="21"/>
      <c r="F12" s="17">
        <f t="shared" si="1"/>
        <v>104070.25</v>
      </c>
    </row>
    <row r="13" spans="1:13" x14ac:dyDescent="0.25">
      <c r="A13" s="4" t="s">
        <v>61</v>
      </c>
      <c r="B13" s="21">
        <f>17402.95-17402.95</f>
        <v>0</v>
      </c>
      <c r="C13" s="21"/>
      <c r="D13" s="6">
        <f t="shared" si="0"/>
        <v>0</v>
      </c>
      <c r="E13" s="21"/>
      <c r="F13" s="17">
        <f t="shared" si="1"/>
        <v>0</v>
      </c>
    </row>
    <row r="14" spans="1:13" x14ac:dyDescent="0.25">
      <c r="A14" s="2" t="s">
        <v>7</v>
      </c>
      <c r="B14" s="6">
        <f>SUM(B8:B13)</f>
        <v>722223.34</v>
      </c>
      <c r="C14" s="6">
        <f>SUM(C8:C13)</f>
        <v>-10710.27</v>
      </c>
      <c r="D14" s="6">
        <f>SUM(D8:D13)</f>
        <v>711513.07</v>
      </c>
      <c r="E14" s="6">
        <f>SUM(E8:E13)</f>
        <v>0</v>
      </c>
      <c r="F14" s="17">
        <f t="shared" si="1"/>
        <v>711513.07</v>
      </c>
    </row>
    <row r="15" spans="1:13" x14ac:dyDescent="0.25">
      <c r="F15" s="17"/>
    </row>
    <row r="16" spans="1:13" x14ac:dyDescent="0.25">
      <c r="A16" s="3" t="s">
        <v>8</v>
      </c>
      <c r="F16" s="17"/>
    </row>
    <row r="17" spans="1:14" x14ac:dyDescent="0.25">
      <c r="A17" s="4" t="s">
        <v>9</v>
      </c>
      <c r="B17" s="21">
        <v>83929.59</v>
      </c>
      <c r="C17" s="21"/>
      <c r="D17" s="6">
        <f>B17+C17</f>
        <v>83929.59</v>
      </c>
      <c r="E17" s="21"/>
      <c r="F17" s="17">
        <f t="shared" ref="F17:F22" si="2">D17+E17</f>
        <v>83929.59</v>
      </c>
    </row>
    <row r="18" spans="1:14" s="6" customFormat="1" x14ac:dyDescent="0.25">
      <c r="A18" s="4" t="s">
        <v>10</v>
      </c>
      <c r="B18" s="21">
        <v>59027.16</v>
      </c>
      <c r="C18" s="21"/>
      <c r="D18" s="6">
        <f>B18+C18</f>
        <v>59027.16</v>
      </c>
      <c r="E18" s="21"/>
      <c r="F18" s="17">
        <f t="shared" si="2"/>
        <v>59027.16</v>
      </c>
      <c r="N18"/>
    </row>
    <row r="19" spans="1:14" s="6" customFormat="1" x14ac:dyDescent="0.25">
      <c r="A19" s="4" t="s">
        <v>190</v>
      </c>
      <c r="B19" s="21"/>
      <c r="C19" s="21"/>
      <c r="D19" s="6">
        <f>B19+C19</f>
        <v>0</v>
      </c>
      <c r="E19" s="21"/>
      <c r="F19" s="17">
        <f t="shared" si="2"/>
        <v>0</v>
      </c>
      <c r="N19"/>
    </row>
    <row r="20" spans="1:14" s="6" customFormat="1" x14ac:dyDescent="0.25">
      <c r="A20" s="4" t="s">
        <v>11</v>
      </c>
      <c r="B20" s="21"/>
      <c r="C20" s="21"/>
      <c r="D20" s="6">
        <f>B20+C20</f>
        <v>0</v>
      </c>
      <c r="E20" s="21"/>
      <c r="F20" s="17">
        <f t="shared" si="2"/>
        <v>0</v>
      </c>
      <c r="N20"/>
    </row>
    <row r="21" spans="1:14" s="6" customFormat="1" x14ac:dyDescent="0.25">
      <c r="A21" s="4" t="s">
        <v>12</v>
      </c>
      <c r="B21" s="21">
        <v>388215.03</v>
      </c>
      <c r="C21" s="21">
        <f>191052-10710</f>
        <v>180342</v>
      </c>
      <c r="D21" s="6">
        <f>B21+C21</f>
        <v>568557.03</v>
      </c>
      <c r="E21" s="21"/>
      <c r="F21" s="17">
        <f t="shared" si="2"/>
        <v>568557.03</v>
      </c>
      <c r="N21"/>
    </row>
    <row r="22" spans="1:14" s="6" customFormat="1" x14ac:dyDescent="0.25">
      <c r="A22" s="2" t="s">
        <v>13</v>
      </c>
      <c r="B22" s="6">
        <f>SUM(B17:B21)</f>
        <v>531171.78</v>
      </c>
      <c r="C22" s="6">
        <f>SUM(C17:C21)</f>
        <v>180342</v>
      </c>
      <c r="D22" s="6">
        <f>SUM(D17:D21)</f>
        <v>711513.78</v>
      </c>
      <c r="E22" s="6">
        <f>SUM(E17:E21)</f>
        <v>0</v>
      </c>
      <c r="F22" s="17">
        <f t="shared" si="2"/>
        <v>711513.78</v>
      </c>
      <c r="N22"/>
    </row>
    <row r="23" spans="1:14" s="6" customFormat="1" x14ac:dyDescent="0.25">
      <c r="A23"/>
      <c r="F23" s="17"/>
      <c r="N23"/>
    </row>
    <row r="24" spans="1:14" s="6" customFormat="1" x14ac:dyDescent="0.25">
      <c r="A24" s="3" t="s">
        <v>14</v>
      </c>
      <c r="F24" s="17"/>
      <c r="N24"/>
    </row>
    <row r="25" spans="1:14" s="6" customFormat="1" x14ac:dyDescent="0.25">
      <c r="A25" s="4" t="s">
        <v>15</v>
      </c>
      <c r="B25" s="21"/>
      <c r="C25" s="21"/>
      <c r="D25" s="6">
        <f>B25+C25</f>
        <v>0</v>
      </c>
      <c r="E25" s="21"/>
      <c r="F25" s="17">
        <f>D25+E25</f>
        <v>0</v>
      </c>
      <c r="N25"/>
    </row>
    <row r="26" spans="1:14" s="6" customFormat="1" x14ac:dyDescent="0.25">
      <c r="A26" s="4" t="s">
        <v>16</v>
      </c>
      <c r="B26" s="21"/>
      <c r="C26" s="21"/>
      <c r="D26" s="6">
        <f>B26+C26</f>
        <v>0</v>
      </c>
      <c r="E26" s="21"/>
      <c r="F26" s="17">
        <f>D26+E26</f>
        <v>0</v>
      </c>
      <c r="N26"/>
    </row>
    <row r="27" spans="1:14" s="6" customFormat="1" x14ac:dyDescent="0.25">
      <c r="A27" s="4" t="s">
        <v>17</v>
      </c>
      <c r="B27" s="21">
        <f>191014.4+37.16</f>
        <v>191051.56</v>
      </c>
      <c r="C27" s="21">
        <f>-191052-21420.54+10710.27+10710</f>
        <v>-191052.27000000002</v>
      </c>
      <c r="D27" s="6">
        <f>B27+C27</f>
        <v>-0.71000000002095476</v>
      </c>
      <c r="E27" s="21"/>
      <c r="F27" s="17">
        <f>D27+E27</f>
        <v>-0.71000000002095476</v>
      </c>
      <c r="N27"/>
    </row>
    <row r="28" spans="1:14" s="6" customFormat="1" x14ac:dyDescent="0.25">
      <c r="A28" s="2" t="s">
        <v>18</v>
      </c>
      <c r="B28" s="6">
        <f>SUM(B25:B27)</f>
        <v>191051.56</v>
      </c>
      <c r="C28" s="6">
        <f>SUM(C25:C27)</f>
        <v>-191052.27000000002</v>
      </c>
      <c r="D28" s="6">
        <f>SUM(D25:D27)</f>
        <v>-0.71000000002095476</v>
      </c>
      <c r="E28" s="6">
        <f>SUM(E25:E27)</f>
        <v>0</v>
      </c>
      <c r="F28" s="17">
        <f>D28+E28</f>
        <v>-0.71000000002095476</v>
      </c>
      <c r="N28"/>
    </row>
    <row r="29" spans="1:14" s="6" customFormat="1" x14ac:dyDescent="0.25">
      <c r="A29"/>
      <c r="F29" s="17"/>
      <c r="N29"/>
    </row>
    <row r="30" spans="1:14" s="6" customFormat="1" x14ac:dyDescent="0.25">
      <c r="A30" s="2" t="s">
        <v>19</v>
      </c>
      <c r="B30" s="6">
        <f>B22+B28</f>
        <v>722223.34000000008</v>
      </c>
      <c r="C30" s="6">
        <f>C22+C28</f>
        <v>-10710.270000000019</v>
      </c>
      <c r="D30" s="6">
        <f>D22+D28</f>
        <v>711513.07000000007</v>
      </c>
      <c r="E30" s="6">
        <f>E22+E28</f>
        <v>0</v>
      </c>
      <c r="F30" s="17">
        <f>D30+E30</f>
        <v>711513.07000000007</v>
      </c>
      <c r="N30"/>
    </row>
    <row r="31" spans="1:14" s="6" customFormat="1" x14ac:dyDescent="0.25">
      <c r="A31"/>
      <c r="B31" s="55" t="str">
        <f>IF(B14=B30,"YES","NO")</f>
        <v>YES</v>
      </c>
      <c r="C31" s="55" t="str">
        <f>IF(C14=C30,"YES","NO")</f>
        <v>YES</v>
      </c>
      <c r="D31" s="55" t="str">
        <f>IF(D14=D30,"YES","NO")</f>
        <v>YES</v>
      </c>
      <c r="E31" s="55" t="str">
        <f>IF(E14=E30,"YES","NO")</f>
        <v>YES</v>
      </c>
      <c r="F31" s="55" t="str">
        <f>IF(F14=F30,"YES","NO")</f>
        <v>YES</v>
      </c>
      <c r="N31"/>
    </row>
    <row r="32" spans="1:14" s="6" customFormat="1" x14ac:dyDescent="0.25">
      <c r="A32" s="3" t="s">
        <v>20</v>
      </c>
      <c r="F32" s="17"/>
      <c r="N32"/>
    </row>
    <row r="33" spans="1:14" s="6" customFormat="1" x14ac:dyDescent="0.25">
      <c r="A33" s="4" t="s">
        <v>21</v>
      </c>
      <c r="B33" s="21">
        <f>2182457.23+17178.39</f>
        <v>2199635.62</v>
      </c>
      <c r="C33" s="21">
        <f>-191052+10710</f>
        <v>-180342</v>
      </c>
      <c r="D33" s="6">
        <f>B33+C33</f>
        <v>2019293.62</v>
      </c>
      <c r="E33" s="21"/>
      <c r="F33" s="17">
        <f t="shared" ref="F33:F38" si="3">D33+E33</f>
        <v>2019293.62</v>
      </c>
      <c r="N33"/>
    </row>
    <row r="34" spans="1:14" s="6" customFormat="1" x14ac:dyDescent="0.25">
      <c r="A34" s="4" t="s">
        <v>22</v>
      </c>
      <c r="B34" s="21">
        <f>17298.39-17178.39</f>
        <v>120</v>
      </c>
      <c r="C34" s="21"/>
      <c r="D34" s="6">
        <f>B34+C34</f>
        <v>120</v>
      </c>
      <c r="E34" s="21"/>
      <c r="F34" s="17">
        <f t="shared" si="3"/>
        <v>120</v>
      </c>
      <c r="N34"/>
    </row>
    <row r="35" spans="1:14" s="6" customFormat="1" x14ac:dyDescent="0.25">
      <c r="A35" s="4" t="s">
        <v>202</v>
      </c>
      <c r="B35" s="21"/>
      <c r="C35" s="21"/>
      <c r="D35" s="6">
        <f>B35+C35</f>
        <v>0</v>
      </c>
      <c r="E35" s="21"/>
      <c r="F35" s="17">
        <f t="shared" si="3"/>
        <v>0</v>
      </c>
      <c r="N35"/>
    </row>
    <row r="36" spans="1:14" s="6" customFormat="1" x14ac:dyDescent="0.25">
      <c r="A36" s="4" t="s">
        <v>23</v>
      </c>
      <c r="B36" s="21">
        <v>1347.04</v>
      </c>
      <c r="C36" s="21"/>
      <c r="D36" s="6">
        <f>B36+C36</f>
        <v>1347.04</v>
      </c>
      <c r="E36" s="21"/>
      <c r="F36" s="17">
        <f t="shared" si="3"/>
        <v>1347.04</v>
      </c>
      <c r="N36"/>
    </row>
    <row r="37" spans="1:14" s="6" customFormat="1" x14ac:dyDescent="0.25">
      <c r="A37" s="4" t="s">
        <v>24</v>
      </c>
      <c r="B37" s="21">
        <f>1285+1407-1407</f>
        <v>1285</v>
      </c>
      <c r="C37" s="21"/>
      <c r="D37" s="6">
        <f>B37+C37</f>
        <v>1285</v>
      </c>
      <c r="E37" s="21"/>
      <c r="F37" s="17">
        <f t="shared" si="3"/>
        <v>1285</v>
      </c>
      <c r="N37"/>
    </row>
    <row r="38" spans="1:14" s="6" customFormat="1" x14ac:dyDescent="0.25">
      <c r="A38" s="2" t="s">
        <v>25</v>
      </c>
      <c r="B38" s="6">
        <f>SUM(B33:B37)</f>
        <v>2202387.66</v>
      </c>
      <c r="C38" s="6">
        <f>SUM(C33:C37)</f>
        <v>-180342</v>
      </c>
      <c r="D38" s="6">
        <f>SUM(D33:D37)</f>
        <v>2022045.6600000001</v>
      </c>
      <c r="E38" s="6">
        <f>SUM(E33:E37)</f>
        <v>0</v>
      </c>
      <c r="F38" s="17">
        <f t="shared" si="3"/>
        <v>2022045.6600000001</v>
      </c>
      <c r="N38"/>
    </row>
    <row r="39" spans="1:14" s="6" customFormat="1" x14ac:dyDescent="0.25">
      <c r="A39"/>
      <c r="F39" s="17"/>
      <c r="N39"/>
    </row>
    <row r="40" spans="1:14" s="6" customFormat="1" x14ac:dyDescent="0.25">
      <c r="A40" s="3" t="s">
        <v>26</v>
      </c>
      <c r="F40" s="17"/>
      <c r="N40"/>
    </row>
    <row r="41" spans="1:14" s="6" customFormat="1" x14ac:dyDescent="0.25">
      <c r="A41" s="4" t="s">
        <v>27</v>
      </c>
      <c r="B41" s="62"/>
      <c r="C41" s="21"/>
      <c r="D41" s="6">
        <f t="shared" ref="D41:D46" si="4">B41+C41</f>
        <v>0</v>
      </c>
      <c r="E41" s="21"/>
      <c r="F41" s="17">
        <f t="shared" ref="F41:F47" si="5">D41+E41</f>
        <v>0</v>
      </c>
      <c r="N41"/>
    </row>
    <row r="42" spans="1:14" s="6" customFormat="1" x14ac:dyDescent="0.25">
      <c r="A42" s="4" t="s">
        <v>28</v>
      </c>
      <c r="B42" s="62"/>
      <c r="C42" s="21"/>
      <c r="D42" s="6">
        <f t="shared" si="4"/>
        <v>0</v>
      </c>
      <c r="E42" s="21"/>
      <c r="F42" s="17">
        <f t="shared" si="5"/>
        <v>0</v>
      </c>
      <c r="N42"/>
    </row>
    <row r="43" spans="1:14" s="6" customFormat="1" x14ac:dyDescent="0.25">
      <c r="A43" s="4" t="s">
        <v>29</v>
      </c>
      <c r="B43" s="62"/>
      <c r="C43" s="21"/>
      <c r="D43" s="6">
        <f t="shared" si="4"/>
        <v>0</v>
      </c>
      <c r="E43" s="21"/>
      <c r="F43" s="17">
        <f t="shared" si="5"/>
        <v>0</v>
      </c>
      <c r="N43"/>
    </row>
    <row r="44" spans="1:14" s="6" customFormat="1" x14ac:dyDescent="0.25">
      <c r="A44" s="4" t="s">
        <v>30</v>
      </c>
      <c r="B44" s="62"/>
      <c r="C44" s="21"/>
      <c r="D44" s="6">
        <f t="shared" si="4"/>
        <v>0</v>
      </c>
      <c r="E44" s="21"/>
      <c r="F44" s="17">
        <f t="shared" si="5"/>
        <v>0</v>
      </c>
      <c r="N44"/>
    </row>
    <row r="45" spans="1:14" s="6" customFormat="1" x14ac:dyDescent="0.25">
      <c r="A45" s="4" t="s">
        <v>31</v>
      </c>
      <c r="B45" s="21">
        <v>1955915.34</v>
      </c>
      <c r="C45" s="21">
        <v>-37</v>
      </c>
      <c r="D45" s="6">
        <f t="shared" si="4"/>
        <v>1955878.34</v>
      </c>
      <c r="E45" s="21"/>
      <c r="F45" s="17">
        <f t="shared" si="5"/>
        <v>1955878.34</v>
      </c>
      <c r="N45"/>
    </row>
    <row r="46" spans="1:14" s="6" customFormat="1" x14ac:dyDescent="0.25">
      <c r="A46" s="4" t="s">
        <v>62</v>
      </c>
      <c r="B46" s="62"/>
      <c r="C46" s="21"/>
      <c r="D46" s="6">
        <f t="shared" si="4"/>
        <v>0</v>
      </c>
      <c r="E46" s="21"/>
      <c r="F46" s="17">
        <f t="shared" si="5"/>
        <v>0</v>
      </c>
      <c r="N46"/>
    </row>
    <row r="47" spans="1:14" s="6" customFormat="1" x14ac:dyDescent="0.25">
      <c r="A47" s="2" t="s">
        <v>32</v>
      </c>
      <c r="B47" s="6">
        <f>SUM(B41:B46)</f>
        <v>1955915.34</v>
      </c>
      <c r="C47" s="6">
        <f>SUM(C41:C46)</f>
        <v>-37</v>
      </c>
      <c r="D47" s="6">
        <f>SUM(D41:D46)</f>
        <v>1955878.34</v>
      </c>
      <c r="E47" s="6">
        <f>SUM(E41:E46)</f>
        <v>0</v>
      </c>
      <c r="F47" s="17">
        <f t="shared" si="5"/>
        <v>1955878.34</v>
      </c>
      <c r="N47"/>
    </row>
    <row r="48" spans="1:14" s="6" customFormat="1" x14ac:dyDescent="0.25">
      <c r="A48"/>
      <c r="F48" s="17"/>
      <c r="N48"/>
    </row>
    <row r="49" spans="1:14" s="6" customFormat="1" x14ac:dyDescent="0.25">
      <c r="A49" s="2" t="s">
        <v>33</v>
      </c>
      <c r="B49" s="6">
        <f>B38-B47</f>
        <v>246472.32000000007</v>
      </c>
      <c r="C49" s="6">
        <f>C38-C47</f>
        <v>-180305</v>
      </c>
      <c r="D49" s="6">
        <f>D38-D47</f>
        <v>66167.320000000065</v>
      </c>
      <c r="E49" s="6">
        <f>E38-E47</f>
        <v>0</v>
      </c>
      <c r="F49" s="17">
        <f>D49+E49</f>
        <v>66167.320000000065</v>
      </c>
      <c r="N49"/>
    </row>
    <row r="50" spans="1:14" s="6" customFormat="1" x14ac:dyDescent="0.25">
      <c r="A50" s="2"/>
      <c r="F50" s="17"/>
      <c r="N50"/>
    </row>
    <row r="51" spans="1:14" s="6" customFormat="1" x14ac:dyDescent="0.25">
      <c r="A51" s="38" t="s">
        <v>300</v>
      </c>
      <c r="B51" s="21">
        <v>1407</v>
      </c>
      <c r="C51" s="21"/>
      <c r="D51" s="6">
        <f>B51+C51</f>
        <v>1407</v>
      </c>
      <c r="E51" s="21"/>
      <c r="F51" s="17">
        <f>D51+E51</f>
        <v>1407</v>
      </c>
      <c r="N51"/>
    </row>
    <row r="52" spans="1:14" s="6" customFormat="1" x14ac:dyDescent="0.25">
      <c r="A52" t="s">
        <v>34</v>
      </c>
      <c r="B52" s="21">
        <v>69536</v>
      </c>
      <c r="C52" s="21">
        <f>-21420.54+10710.27</f>
        <v>-10710.27</v>
      </c>
      <c r="D52" s="6">
        <f>B52+C52</f>
        <v>58825.729999999996</v>
      </c>
      <c r="E52" s="21"/>
      <c r="F52" s="17">
        <f>D52+E52</f>
        <v>58825.729999999996</v>
      </c>
      <c r="N52"/>
    </row>
    <row r="53" spans="1:14" s="6" customFormat="1" x14ac:dyDescent="0.25">
      <c r="A53" t="s">
        <v>35</v>
      </c>
      <c r="B53" s="21">
        <v>126400.74</v>
      </c>
      <c r="C53" s="21"/>
      <c r="D53" s="6">
        <f>B53+C53</f>
        <v>126400.74</v>
      </c>
      <c r="E53" s="21"/>
      <c r="F53" s="17">
        <f>D53+E53</f>
        <v>126400.74</v>
      </c>
      <c r="N53"/>
    </row>
    <row r="54" spans="1:14" s="6" customFormat="1" x14ac:dyDescent="0.25">
      <c r="A54" s="2" t="s">
        <v>36</v>
      </c>
      <c r="B54" s="6">
        <f>B51+B52-B53</f>
        <v>-55457.740000000005</v>
      </c>
      <c r="C54" s="6">
        <f>C51+C52-C53</f>
        <v>-10710.27</v>
      </c>
      <c r="D54" s="6">
        <f>B54+C54</f>
        <v>-66168.010000000009</v>
      </c>
      <c r="E54" s="6">
        <f>E51+E52-E53</f>
        <v>0</v>
      </c>
      <c r="F54" s="17">
        <f>D54+E54</f>
        <v>-66168.010000000009</v>
      </c>
      <c r="N54"/>
    </row>
    <row r="55" spans="1:14" s="6" customFormat="1" x14ac:dyDescent="0.25">
      <c r="A55"/>
      <c r="F55" s="17"/>
      <c r="N55"/>
    </row>
    <row r="56" spans="1:14" s="6" customFormat="1" x14ac:dyDescent="0.25">
      <c r="A56" s="2" t="s">
        <v>37</v>
      </c>
      <c r="B56" s="17">
        <f>B49+B54</f>
        <v>191014.58000000007</v>
      </c>
      <c r="C56" s="17">
        <f>C49+C54</f>
        <v>-191015.27</v>
      </c>
      <c r="D56" s="6">
        <f>D49+D54</f>
        <v>-0.68999999994412065</v>
      </c>
      <c r="E56" s="6">
        <f>E49+E54</f>
        <v>0</v>
      </c>
      <c r="F56" s="17">
        <f>D56+E56</f>
        <v>-0.68999999994412065</v>
      </c>
      <c r="N56"/>
    </row>
    <row r="57" spans="1:14" s="6" customFormat="1" x14ac:dyDescent="0.25">
      <c r="A57" t="s">
        <v>38</v>
      </c>
      <c r="B57" s="6">
        <f>B58-B56</f>
        <v>36.979999999923166</v>
      </c>
      <c r="C57" s="6">
        <f>C58-C56</f>
        <v>-37.000000000029104</v>
      </c>
      <c r="D57" s="6">
        <f>D58-D56</f>
        <v>-2.0000000076834112E-2</v>
      </c>
      <c r="E57" s="6">
        <f>E58-E56</f>
        <v>0</v>
      </c>
      <c r="F57" s="17">
        <f>D57+E57</f>
        <v>-2.0000000076834112E-2</v>
      </c>
      <c r="N57"/>
    </row>
    <row r="58" spans="1:14" s="6" customFormat="1" x14ac:dyDescent="0.25">
      <c r="A58" s="2" t="s">
        <v>39</v>
      </c>
      <c r="B58" s="6">
        <f>B28</f>
        <v>191051.56</v>
      </c>
      <c r="C58" s="6">
        <f>C28</f>
        <v>-191052.27000000002</v>
      </c>
      <c r="D58" s="6">
        <f>D28</f>
        <v>-0.71000000002095476</v>
      </c>
      <c r="E58" s="6">
        <f>E28</f>
        <v>0</v>
      </c>
      <c r="F58" s="17">
        <f>D58+E58</f>
        <v>-0.71000000002095476</v>
      </c>
      <c r="N58"/>
    </row>
  </sheetData>
  <customSheetViews>
    <customSheetView guid="{E68B3865-8D72-47E7-BE32-0FF7EB09E889}" fitToPage="1" topLeftCell="A22">
      <selection activeCell="A4" sqref="A4"/>
      <pageMargins left="0.7" right="0.7" top="0.75" bottom="0.75" header="0.3" footer="0.3"/>
      <pageSetup scale="81" orientation="portrait" horizontalDpi="1200" r:id="rId1"/>
    </customSheetView>
    <customSheetView guid="{2B2709E2-6DF4-4CC4-88D0-056FB306137C}" fitToPage="1" topLeftCell="A7">
      <selection activeCell="C28" sqref="C28"/>
      <pageMargins left="0.7" right="0.7" top="0.75" bottom="0.75" header="0.3" footer="0.3"/>
      <pageSetup scale="81" orientation="portrait" horizontalDpi="1200" r:id="rId2"/>
    </customSheetView>
    <customSheetView guid="{EC03C3C8-7E57-47C6-8413-F484E8C46A0C}" showPageBreaks="1" fitToPage="1" topLeftCell="A35">
      <selection activeCell="B52" sqref="B52"/>
      <pageMargins left="0.7" right="0.7" top="0.75" bottom="0.75" header="0.3" footer="0.3"/>
      <pageSetup scale="80" orientation="portrait" horizontalDpi="1200" r:id="rId3"/>
    </customSheetView>
    <customSheetView guid="{A6F79E61-D6A3-44FD-B4A4-4724DF74349B}" showPageBreaks="1" fitToPage="1">
      <selection activeCell="B13" sqref="B13"/>
      <pageMargins left="0.7" right="0.7" top="0.75" bottom="0.75" header="0.3" footer="0.3"/>
      <pageSetup scale="80" orientation="portrait" horizontalDpi="1200" r:id="rId4"/>
    </customSheetView>
    <customSheetView guid="{DE6E911D-85BF-467A-AA00-1E84C5349CF7}" showPageBreaks="1" fitToPage="1" topLeftCell="A22">
      <selection activeCell="D57" sqref="D57"/>
      <pageMargins left="0.7" right="0.7" top="0.75" bottom="0.75" header="0.3" footer="0.3"/>
      <pageSetup scale="78" orientation="portrait" horizontalDpi="1200" r:id="rId5"/>
    </customSheetView>
  </customSheetViews>
  <pageMargins left="0.7" right="0.7" top="0.75" bottom="0.75" header="0.3" footer="0.3"/>
  <pageSetup scale="81" orientation="portrait" horizontalDpi="1200" r:id="rId6"/>
  <legacyDrawing r:id="rId7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58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4" sqref="A4"/>
    </sheetView>
  </sheetViews>
  <sheetFormatPr defaultRowHeight="15" outlineLevelCol="1" x14ac:dyDescent="0.25"/>
  <cols>
    <col min="1" max="1" width="33.42578125" customWidth="1"/>
    <col min="2" max="2" width="18.28515625" bestFit="1" customWidth="1" outlineLevel="1"/>
    <col min="3" max="3" width="11.85546875" bestFit="1" customWidth="1" outlineLevel="1"/>
    <col min="4" max="4" width="15.85546875" customWidth="1"/>
    <col min="5" max="5" width="11.85546875" bestFit="1" customWidth="1" outlineLevel="1"/>
    <col min="6" max="6" width="10.85546875" bestFit="1" customWidth="1" outlineLevel="1"/>
    <col min="7" max="7" width="13.5703125" bestFit="1" customWidth="1"/>
    <col min="8" max="8" width="10.140625" customWidth="1" outlineLevel="1"/>
    <col min="9" max="9" width="9.140625" outlineLevel="1"/>
    <col min="10" max="10" width="13.5703125" bestFit="1" customWidth="1"/>
    <col min="11" max="11" width="11.85546875" customWidth="1"/>
    <col min="12" max="12" width="12.28515625" bestFit="1" customWidth="1" outlineLevel="1"/>
    <col min="13" max="13" width="10.85546875" bestFit="1" customWidth="1" outlineLevel="1"/>
    <col min="14" max="14" width="13.5703125" bestFit="1" customWidth="1"/>
    <col min="15" max="15" width="13.5703125" bestFit="1" customWidth="1" outlineLevel="1"/>
    <col min="16" max="16" width="11.85546875" bestFit="1" customWidth="1" outlineLevel="1"/>
    <col min="17" max="18" width="13.5703125" bestFit="1" customWidth="1"/>
  </cols>
  <sheetData>
    <row r="1" spans="1:18" ht="23.25" x14ac:dyDescent="0.35">
      <c r="A1" s="5" t="s">
        <v>251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x14ac:dyDescent="0.25">
      <c r="A2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5">
      <c r="A3" s="1">
        <v>43435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x14ac:dyDescent="0.25">
      <c r="A4" s="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45" x14ac:dyDescent="0.25">
      <c r="A5" s="1"/>
      <c r="B5" s="7" t="s">
        <v>269</v>
      </c>
      <c r="C5" s="7" t="s">
        <v>47</v>
      </c>
      <c r="D5" s="7" t="s">
        <v>268</v>
      </c>
      <c r="E5" s="7" t="s">
        <v>267</v>
      </c>
      <c r="F5" s="7" t="s">
        <v>47</v>
      </c>
      <c r="G5" s="7" t="s">
        <v>266</v>
      </c>
      <c r="H5" s="7" t="s">
        <v>265</v>
      </c>
      <c r="I5" s="7" t="s">
        <v>47</v>
      </c>
      <c r="J5" s="7" t="s">
        <v>264</v>
      </c>
      <c r="K5" s="7" t="s">
        <v>263</v>
      </c>
      <c r="L5" s="7" t="s">
        <v>262</v>
      </c>
      <c r="M5" s="7" t="s">
        <v>47</v>
      </c>
      <c r="N5" s="7" t="s">
        <v>261</v>
      </c>
      <c r="O5" s="7" t="s">
        <v>260</v>
      </c>
      <c r="P5" s="7" t="s">
        <v>47</v>
      </c>
      <c r="Q5" s="7" t="s">
        <v>259</v>
      </c>
      <c r="R5" s="18" t="s">
        <v>258</v>
      </c>
    </row>
    <row r="6" spans="1:18" x14ac:dyDescent="0.2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17"/>
    </row>
    <row r="7" spans="1:18" x14ac:dyDescent="0.25">
      <c r="A7" s="3" t="s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17"/>
    </row>
    <row r="8" spans="1:18" x14ac:dyDescent="0.25">
      <c r="A8" s="4" t="s">
        <v>3</v>
      </c>
      <c r="B8" s="21">
        <v>-2809195.2</v>
      </c>
      <c r="C8" s="21"/>
      <c r="D8" s="6">
        <f t="shared" ref="D8:D13" si="0">B8+C8</f>
        <v>-2809195.2</v>
      </c>
      <c r="E8" s="21"/>
      <c r="F8" s="21">
        <v>4578.66</v>
      </c>
      <c r="G8" s="55">
        <f>E8+F8</f>
        <v>4578.66</v>
      </c>
      <c r="H8" s="21"/>
      <c r="I8" s="21"/>
      <c r="J8" s="6">
        <f t="shared" ref="J8:J13" si="1">H8+I8</f>
        <v>0</v>
      </c>
      <c r="K8" s="21">
        <v>36895.410000000003</v>
      </c>
      <c r="L8" s="41"/>
      <c r="M8" s="21"/>
      <c r="N8" s="6">
        <f t="shared" ref="N8:N13" si="2">L8+M8</f>
        <v>0</v>
      </c>
      <c r="O8" s="21">
        <v>-190469.34</v>
      </c>
      <c r="P8" s="21"/>
      <c r="Q8" s="6">
        <f t="shared" ref="Q8:Q13" si="3">O8+P8</f>
        <v>-190469.34</v>
      </c>
      <c r="R8" s="17">
        <f>D8+J8+K8+N8+Q8</f>
        <v>-2962769.13</v>
      </c>
    </row>
    <row r="9" spans="1:18" x14ac:dyDescent="0.25">
      <c r="A9" s="4" t="s">
        <v>189</v>
      </c>
      <c r="B9" s="21"/>
      <c r="C9" s="21"/>
      <c r="D9" s="6">
        <f t="shared" si="0"/>
        <v>0</v>
      </c>
      <c r="E9" s="21"/>
      <c r="F9" s="21"/>
      <c r="G9" s="6">
        <f t="shared" ref="G9:G12" si="4">E9+F9</f>
        <v>0</v>
      </c>
      <c r="H9" s="21"/>
      <c r="I9" s="21"/>
      <c r="J9" s="6">
        <f t="shared" si="1"/>
        <v>0</v>
      </c>
      <c r="K9" s="21"/>
      <c r="L9" s="21"/>
      <c r="M9" s="21"/>
      <c r="N9" s="6">
        <f t="shared" si="2"/>
        <v>0</v>
      </c>
      <c r="O9" s="21"/>
      <c r="P9" s="21"/>
      <c r="Q9" s="6">
        <f t="shared" si="3"/>
        <v>0</v>
      </c>
      <c r="R9" s="17">
        <f t="shared" ref="R9:R22" si="5">D9+J9+K9+N9+Q9</f>
        <v>0</v>
      </c>
    </row>
    <row r="10" spans="1:18" x14ac:dyDescent="0.25">
      <c r="A10" s="4" t="s">
        <v>4</v>
      </c>
      <c r="B10" s="21"/>
      <c r="C10" s="21"/>
      <c r="D10" s="6">
        <f t="shared" si="0"/>
        <v>0</v>
      </c>
      <c r="E10" s="21"/>
      <c r="F10" s="21"/>
      <c r="G10" s="6">
        <f t="shared" si="4"/>
        <v>0</v>
      </c>
      <c r="H10" s="21"/>
      <c r="I10" s="21"/>
      <c r="J10" s="6">
        <f t="shared" si="1"/>
        <v>0</v>
      </c>
      <c r="K10" s="21"/>
      <c r="L10" s="21"/>
      <c r="M10" s="21"/>
      <c r="N10" s="6">
        <f t="shared" si="2"/>
        <v>0</v>
      </c>
      <c r="O10" s="21">
        <v>302779.06</v>
      </c>
      <c r="P10" s="21"/>
      <c r="Q10" s="6">
        <f>O10+P10</f>
        <v>302779.06</v>
      </c>
      <c r="R10" s="17">
        <f t="shared" si="5"/>
        <v>302779.06</v>
      </c>
    </row>
    <row r="11" spans="1:18" x14ac:dyDescent="0.25">
      <c r="A11" s="4" t="s">
        <v>6</v>
      </c>
      <c r="B11" s="21">
        <v>27840.1</v>
      </c>
      <c r="C11" s="21"/>
      <c r="D11" s="6">
        <f t="shared" si="0"/>
        <v>27840.1</v>
      </c>
      <c r="E11" s="21"/>
      <c r="F11" s="21"/>
      <c r="G11" s="6">
        <f t="shared" si="4"/>
        <v>0</v>
      </c>
      <c r="H11" s="21"/>
      <c r="I11" s="21"/>
      <c r="J11" s="6">
        <f t="shared" si="1"/>
        <v>0</v>
      </c>
      <c r="K11" s="21"/>
      <c r="L11" s="21"/>
      <c r="M11" s="21"/>
      <c r="N11" s="6">
        <f t="shared" si="2"/>
        <v>0</v>
      </c>
      <c r="O11" s="21"/>
      <c r="P11" s="21"/>
      <c r="Q11" s="6">
        <f t="shared" si="3"/>
        <v>0</v>
      </c>
      <c r="R11" s="17">
        <f t="shared" si="5"/>
        <v>27840.1</v>
      </c>
    </row>
    <row r="12" spans="1:18" x14ac:dyDescent="0.25">
      <c r="A12" s="4" t="s">
        <v>5</v>
      </c>
      <c r="B12" s="21">
        <v>3627445.51</v>
      </c>
      <c r="C12" s="21">
        <f>15385+10598</f>
        <v>25983</v>
      </c>
      <c r="D12" s="6">
        <f t="shared" si="0"/>
        <v>3653428.51</v>
      </c>
      <c r="E12" s="21"/>
      <c r="F12" s="21"/>
      <c r="G12" s="6">
        <f t="shared" si="4"/>
        <v>0</v>
      </c>
      <c r="H12" s="21"/>
      <c r="I12" s="21"/>
      <c r="J12" s="6">
        <f t="shared" si="1"/>
        <v>0</v>
      </c>
      <c r="K12" s="21"/>
      <c r="L12" s="21"/>
      <c r="M12" s="21"/>
      <c r="N12" s="6">
        <f t="shared" si="2"/>
        <v>0</v>
      </c>
      <c r="O12" s="21"/>
      <c r="P12" s="21"/>
      <c r="Q12" s="6">
        <f t="shared" si="3"/>
        <v>0</v>
      </c>
      <c r="R12" s="17">
        <f t="shared" si="5"/>
        <v>3653428.51</v>
      </c>
    </row>
    <row r="13" spans="1:18" x14ac:dyDescent="0.25">
      <c r="A13" s="4" t="s">
        <v>61</v>
      </c>
      <c r="B13" s="21">
        <f>27840.1-27840.1</f>
        <v>0</v>
      </c>
      <c r="C13" s="21"/>
      <c r="D13" s="6">
        <f t="shared" si="0"/>
        <v>0</v>
      </c>
      <c r="E13" s="21"/>
      <c r="F13" s="21">
        <f>-114.78-959.06-1995.97-1508.37-0.48</f>
        <v>-4578.66</v>
      </c>
      <c r="G13" s="6">
        <f>E13+F13</f>
        <v>-4578.66</v>
      </c>
      <c r="H13" s="21"/>
      <c r="I13" s="21"/>
      <c r="J13" s="6">
        <f t="shared" si="1"/>
        <v>0</v>
      </c>
      <c r="K13" s="21"/>
      <c r="L13" s="21"/>
      <c r="M13" s="21"/>
      <c r="N13" s="6">
        <f t="shared" si="2"/>
        <v>0</v>
      </c>
      <c r="O13" s="21"/>
      <c r="P13" s="21"/>
      <c r="Q13" s="6">
        <f t="shared" si="3"/>
        <v>0</v>
      </c>
      <c r="R13" s="17">
        <f t="shared" si="5"/>
        <v>0</v>
      </c>
    </row>
    <row r="14" spans="1:18" x14ac:dyDescent="0.25">
      <c r="A14" s="2" t="s">
        <v>7</v>
      </c>
      <c r="B14" s="6">
        <f t="shared" ref="B14:Q14" si="6">SUM(B8:B13)</f>
        <v>846090.40999999968</v>
      </c>
      <c r="C14" s="6">
        <f t="shared" si="6"/>
        <v>25983</v>
      </c>
      <c r="D14" s="6">
        <f t="shared" si="6"/>
        <v>872073.40999999968</v>
      </c>
      <c r="E14" s="6">
        <f t="shared" si="6"/>
        <v>0</v>
      </c>
      <c r="F14" s="6">
        <f>SUM(F8:F13)</f>
        <v>0</v>
      </c>
      <c r="G14" s="6">
        <f t="shared" si="6"/>
        <v>0</v>
      </c>
      <c r="H14" s="6">
        <f t="shared" si="6"/>
        <v>0</v>
      </c>
      <c r="I14" s="6">
        <f t="shared" si="6"/>
        <v>0</v>
      </c>
      <c r="J14" s="6">
        <f t="shared" si="6"/>
        <v>0</v>
      </c>
      <c r="K14" s="6">
        <f t="shared" si="6"/>
        <v>36895.410000000003</v>
      </c>
      <c r="L14" s="6">
        <f t="shared" si="6"/>
        <v>0</v>
      </c>
      <c r="M14" s="6">
        <f t="shared" si="6"/>
        <v>0</v>
      </c>
      <c r="N14" s="6">
        <f t="shared" si="6"/>
        <v>0</v>
      </c>
      <c r="O14" s="6">
        <f t="shared" si="6"/>
        <v>112309.72</v>
      </c>
      <c r="P14" s="6">
        <f t="shared" si="6"/>
        <v>0</v>
      </c>
      <c r="Q14" s="6">
        <f t="shared" si="6"/>
        <v>112309.72</v>
      </c>
      <c r="R14" s="17">
        <f t="shared" si="5"/>
        <v>1021278.5399999997</v>
      </c>
    </row>
    <row r="15" spans="1:18" x14ac:dyDescent="0.2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17"/>
    </row>
    <row r="16" spans="1:18" x14ac:dyDescent="0.25">
      <c r="A16" s="3" t="s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17"/>
    </row>
    <row r="17" spans="1:18" x14ac:dyDescent="0.25">
      <c r="A17" s="4" t="s">
        <v>9</v>
      </c>
      <c r="B17" s="21">
        <v>583777.32999999996</v>
      </c>
      <c r="C17" s="21"/>
      <c r="D17" s="6">
        <f>B17+C17</f>
        <v>583777.32999999996</v>
      </c>
      <c r="E17" s="21"/>
      <c r="F17" s="21"/>
      <c r="G17" s="6">
        <f>E17+F17</f>
        <v>0</v>
      </c>
      <c r="H17" s="21"/>
      <c r="I17" s="21"/>
      <c r="J17" s="6">
        <f>H17+I17</f>
        <v>0</v>
      </c>
      <c r="K17" s="21">
        <v>675.55</v>
      </c>
      <c r="L17" s="21"/>
      <c r="M17" s="21"/>
      <c r="N17" s="6">
        <f>L17+M17</f>
        <v>0</v>
      </c>
      <c r="O17" s="21">
        <f>112311.95-0.46</f>
        <v>112311.48999999999</v>
      </c>
      <c r="P17" s="21"/>
      <c r="Q17" s="6">
        <f>O17+P17</f>
        <v>112311.48999999999</v>
      </c>
      <c r="R17" s="17">
        <f t="shared" si="5"/>
        <v>696764.37</v>
      </c>
    </row>
    <row r="18" spans="1:18" x14ac:dyDescent="0.25">
      <c r="A18" s="4" t="s">
        <v>10</v>
      </c>
      <c r="B18" s="21">
        <v>127943.49</v>
      </c>
      <c r="C18" s="21"/>
      <c r="D18" s="6">
        <f>B18+C18</f>
        <v>127943.49</v>
      </c>
      <c r="E18" s="21"/>
      <c r="F18" s="21"/>
      <c r="G18" s="6">
        <f>E18+F18</f>
        <v>0</v>
      </c>
      <c r="H18" s="21"/>
      <c r="I18" s="21"/>
      <c r="J18" s="6">
        <f>H18+I18</f>
        <v>0</v>
      </c>
      <c r="K18" s="21"/>
      <c r="L18" s="21"/>
      <c r="M18" s="21"/>
      <c r="N18" s="6">
        <f>L18+M18</f>
        <v>0</v>
      </c>
      <c r="O18" s="21"/>
      <c r="P18" s="21"/>
      <c r="Q18" s="6">
        <f>O18+P18</f>
        <v>0</v>
      </c>
      <c r="R18" s="17">
        <f t="shared" si="5"/>
        <v>127943.49</v>
      </c>
    </row>
    <row r="19" spans="1:18" x14ac:dyDescent="0.25">
      <c r="A19" s="4" t="s">
        <v>190</v>
      </c>
      <c r="B19" s="21">
        <v>160355</v>
      </c>
      <c r="C19" s="21"/>
      <c r="D19" s="6">
        <f>B19+C19</f>
        <v>160355</v>
      </c>
      <c r="E19" s="21"/>
      <c r="F19" s="21"/>
      <c r="G19" s="6">
        <f>E19+F19</f>
        <v>0</v>
      </c>
      <c r="H19" s="21"/>
      <c r="I19" s="21"/>
      <c r="J19" s="6">
        <f>H19+I19</f>
        <v>0</v>
      </c>
      <c r="K19" s="21"/>
      <c r="L19" s="21"/>
      <c r="M19" s="21"/>
      <c r="N19" s="6">
        <f>L19+M19</f>
        <v>0</v>
      </c>
      <c r="O19" s="21"/>
      <c r="P19" s="21"/>
      <c r="Q19" s="6">
        <f>O19+P19</f>
        <v>0</v>
      </c>
      <c r="R19" s="17">
        <f t="shared" si="5"/>
        <v>160355</v>
      </c>
    </row>
    <row r="20" spans="1:18" x14ac:dyDescent="0.25">
      <c r="A20" s="4" t="s">
        <v>11</v>
      </c>
      <c r="B20" s="21"/>
      <c r="C20" s="21"/>
      <c r="D20" s="6">
        <f>B20+C20</f>
        <v>0</v>
      </c>
      <c r="E20" s="21"/>
      <c r="F20" s="21"/>
      <c r="G20" s="6">
        <f>E20+F20</f>
        <v>0</v>
      </c>
      <c r="H20" s="21"/>
      <c r="I20" s="21"/>
      <c r="J20" s="6">
        <f>H20+I20</f>
        <v>0</v>
      </c>
      <c r="K20" s="21"/>
      <c r="L20" s="21"/>
      <c r="M20" s="21"/>
      <c r="N20" s="6">
        <f>L20+M20</f>
        <v>0</v>
      </c>
      <c r="O20" s="21"/>
      <c r="P20" s="21"/>
      <c r="Q20" s="6">
        <f>O20+P20</f>
        <v>0</v>
      </c>
      <c r="R20" s="17">
        <f t="shared" si="5"/>
        <v>0</v>
      </c>
    </row>
    <row r="21" spans="1:18" x14ac:dyDescent="0.25">
      <c r="A21" s="4" t="s">
        <v>12</v>
      </c>
      <c r="B21" s="21"/>
      <c r="C21" s="21"/>
      <c r="D21" s="6">
        <f>B21+C21</f>
        <v>0</v>
      </c>
      <c r="E21" s="21"/>
      <c r="F21" s="21"/>
      <c r="G21" s="6">
        <f>E21+F21</f>
        <v>0</v>
      </c>
      <c r="H21" s="21"/>
      <c r="I21" s="21"/>
      <c r="J21" s="6">
        <f>H21+I21</f>
        <v>0</v>
      </c>
      <c r="K21" s="21"/>
      <c r="L21" s="21"/>
      <c r="M21" s="21"/>
      <c r="N21" s="6">
        <f>L21+M21</f>
        <v>0</v>
      </c>
      <c r="O21" s="21">
        <f>-0.46+0.46</f>
        <v>0</v>
      </c>
      <c r="P21" s="21"/>
      <c r="Q21" s="6">
        <f>O21+P21</f>
        <v>0</v>
      </c>
      <c r="R21" s="17">
        <f t="shared" si="5"/>
        <v>0</v>
      </c>
    </row>
    <row r="22" spans="1:18" x14ac:dyDescent="0.25">
      <c r="A22" s="2" t="s">
        <v>13</v>
      </c>
      <c r="B22" s="6">
        <f t="shared" ref="B22:Q22" si="7">SUM(B17:B21)</f>
        <v>872075.82</v>
      </c>
      <c r="C22" s="6">
        <f t="shared" si="7"/>
        <v>0</v>
      </c>
      <c r="D22" s="6">
        <f t="shared" si="7"/>
        <v>872075.82</v>
      </c>
      <c r="E22" s="6">
        <f t="shared" si="7"/>
        <v>0</v>
      </c>
      <c r="F22" s="6">
        <f t="shared" si="7"/>
        <v>0</v>
      </c>
      <c r="G22" s="6">
        <f t="shared" si="7"/>
        <v>0</v>
      </c>
      <c r="H22" s="6">
        <f t="shared" si="7"/>
        <v>0</v>
      </c>
      <c r="I22" s="6">
        <f t="shared" si="7"/>
        <v>0</v>
      </c>
      <c r="J22" s="6">
        <f t="shared" si="7"/>
        <v>0</v>
      </c>
      <c r="K22" s="6">
        <f t="shared" si="7"/>
        <v>675.55</v>
      </c>
      <c r="L22" s="6">
        <f t="shared" si="7"/>
        <v>0</v>
      </c>
      <c r="M22" s="6">
        <f t="shared" si="7"/>
        <v>0</v>
      </c>
      <c r="N22" s="6">
        <f t="shared" si="7"/>
        <v>0</v>
      </c>
      <c r="O22" s="6">
        <f>SUM(O17:O21)</f>
        <v>112311.48999999999</v>
      </c>
      <c r="P22" s="6">
        <f t="shared" si="7"/>
        <v>0</v>
      </c>
      <c r="Q22" s="6">
        <f t="shared" si="7"/>
        <v>112311.48999999999</v>
      </c>
      <c r="R22" s="17">
        <f t="shared" si="5"/>
        <v>985062.86</v>
      </c>
    </row>
    <row r="23" spans="1:18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17"/>
    </row>
    <row r="24" spans="1:18" x14ac:dyDescent="0.25">
      <c r="A24" s="3" t="s">
        <v>14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17"/>
    </row>
    <row r="25" spans="1:18" x14ac:dyDescent="0.25">
      <c r="A25" s="4" t="s">
        <v>15</v>
      </c>
      <c r="B25" s="21">
        <f>-26100.66+115.25</f>
        <v>-25985.41</v>
      </c>
      <c r="C25" s="21">
        <f>15385+10598</f>
        <v>25983</v>
      </c>
      <c r="D25" s="6">
        <f>B25+C25</f>
        <v>-2.4099999999998545</v>
      </c>
      <c r="E25" s="21"/>
      <c r="F25" s="21"/>
      <c r="G25" s="6">
        <f>E25+F25</f>
        <v>0</v>
      </c>
      <c r="H25" s="21"/>
      <c r="I25" s="21"/>
      <c r="J25" s="6">
        <f>H25+I25</f>
        <v>0</v>
      </c>
      <c r="K25" s="21">
        <v>36219.86</v>
      </c>
      <c r="L25" s="21"/>
      <c r="M25" s="21"/>
      <c r="N25" s="6">
        <f>L25+M25</f>
        <v>0</v>
      </c>
      <c r="O25" s="21">
        <v>-1.77</v>
      </c>
      <c r="P25" s="21">
        <f>-134340.5+134340.5</f>
        <v>0</v>
      </c>
      <c r="Q25" s="6">
        <f>O25+P25</f>
        <v>-1.77</v>
      </c>
      <c r="R25" s="17">
        <f>D25+J25+K25+N25+Q25</f>
        <v>36215.68</v>
      </c>
    </row>
    <row r="26" spans="1:18" x14ac:dyDescent="0.25">
      <c r="A26" s="4" t="s">
        <v>16</v>
      </c>
      <c r="B26" s="36"/>
      <c r="C26" s="21"/>
      <c r="D26" s="6">
        <f>B26+C26</f>
        <v>0</v>
      </c>
      <c r="E26" s="21"/>
      <c r="F26" s="21"/>
      <c r="G26" s="6">
        <f>E26+F26</f>
        <v>0</v>
      </c>
      <c r="H26" s="21"/>
      <c r="I26" s="21"/>
      <c r="J26" s="6">
        <f>H26+I26</f>
        <v>0</v>
      </c>
      <c r="K26" s="21"/>
      <c r="L26" s="21"/>
      <c r="M26" s="21"/>
      <c r="N26" s="6">
        <f>L26+M26</f>
        <v>0</v>
      </c>
      <c r="O26" s="21"/>
      <c r="P26" s="21"/>
      <c r="Q26" s="6">
        <f>O26+P26</f>
        <v>0</v>
      </c>
      <c r="R26" s="17">
        <f>D26+J26+K26+N26+Q26</f>
        <v>0</v>
      </c>
    </row>
    <row r="27" spans="1:18" x14ac:dyDescent="0.25">
      <c r="A27" s="4" t="s">
        <v>17</v>
      </c>
      <c r="B27" s="21"/>
      <c r="C27" s="21"/>
      <c r="D27" s="6">
        <f>B27+C27</f>
        <v>0</v>
      </c>
      <c r="E27" s="21"/>
      <c r="F27" s="21"/>
      <c r="G27" s="6">
        <f>E27+F27</f>
        <v>0</v>
      </c>
      <c r="H27" s="21"/>
      <c r="I27" s="21"/>
      <c r="J27" s="6">
        <f>H27+I27</f>
        <v>0</v>
      </c>
      <c r="K27" s="21"/>
      <c r="L27" s="21"/>
      <c r="M27" s="21"/>
      <c r="N27" s="6">
        <f>L27+M27</f>
        <v>0</v>
      </c>
      <c r="O27" s="21"/>
      <c r="P27" s="21"/>
      <c r="Q27" s="6">
        <f>O27+P27</f>
        <v>0</v>
      </c>
      <c r="R27" s="17">
        <f>D27+J27+K27+N27+Q27</f>
        <v>0</v>
      </c>
    </row>
    <row r="28" spans="1:18" x14ac:dyDescent="0.25">
      <c r="A28" s="2" t="s">
        <v>18</v>
      </c>
      <c r="B28" s="6">
        <f t="shared" ref="B28:Q28" si="8">SUM(B25:B27)</f>
        <v>-25985.41</v>
      </c>
      <c r="C28" s="6">
        <f t="shared" si="8"/>
        <v>25983</v>
      </c>
      <c r="D28" s="6">
        <f t="shared" si="8"/>
        <v>-2.4099999999998545</v>
      </c>
      <c r="E28" s="6">
        <f t="shared" si="8"/>
        <v>0</v>
      </c>
      <c r="F28" s="6">
        <f t="shared" si="8"/>
        <v>0</v>
      </c>
      <c r="G28" s="6">
        <f t="shared" si="8"/>
        <v>0</v>
      </c>
      <c r="H28" s="6">
        <f t="shared" si="8"/>
        <v>0</v>
      </c>
      <c r="I28" s="6">
        <f t="shared" si="8"/>
        <v>0</v>
      </c>
      <c r="J28" s="6">
        <f t="shared" si="8"/>
        <v>0</v>
      </c>
      <c r="K28" s="6">
        <f t="shared" si="8"/>
        <v>36219.86</v>
      </c>
      <c r="L28" s="6">
        <f t="shared" si="8"/>
        <v>0</v>
      </c>
      <c r="M28" s="6">
        <f t="shared" si="8"/>
        <v>0</v>
      </c>
      <c r="N28" s="6">
        <f t="shared" si="8"/>
        <v>0</v>
      </c>
      <c r="O28" s="6">
        <f t="shared" si="8"/>
        <v>-1.77</v>
      </c>
      <c r="P28" s="6">
        <f t="shared" si="8"/>
        <v>0</v>
      </c>
      <c r="Q28" s="6">
        <f t="shared" si="8"/>
        <v>-1.77</v>
      </c>
      <c r="R28" s="17">
        <f>D28+J28+K28+N28+Q28</f>
        <v>36215.68</v>
      </c>
    </row>
    <row r="29" spans="1:18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17"/>
    </row>
    <row r="30" spans="1:18" x14ac:dyDescent="0.25">
      <c r="A30" s="2" t="s">
        <v>19</v>
      </c>
      <c r="B30" s="6">
        <f t="shared" ref="B30:Q30" si="9">B22+B28</f>
        <v>846090.40999999992</v>
      </c>
      <c r="C30" s="6">
        <f t="shared" si="9"/>
        <v>25983</v>
      </c>
      <c r="D30" s="6">
        <f t="shared" si="9"/>
        <v>872073.40999999992</v>
      </c>
      <c r="E30" s="6">
        <f t="shared" si="9"/>
        <v>0</v>
      </c>
      <c r="F30" s="6">
        <f t="shared" si="9"/>
        <v>0</v>
      </c>
      <c r="G30" s="6">
        <f t="shared" si="9"/>
        <v>0</v>
      </c>
      <c r="H30" s="6">
        <f t="shared" si="9"/>
        <v>0</v>
      </c>
      <c r="I30" s="6">
        <f t="shared" si="9"/>
        <v>0</v>
      </c>
      <c r="J30" s="6">
        <f t="shared" si="9"/>
        <v>0</v>
      </c>
      <c r="K30" s="6">
        <f t="shared" si="9"/>
        <v>36895.410000000003</v>
      </c>
      <c r="L30" s="6">
        <f t="shared" si="9"/>
        <v>0</v>
      </c>
      <c r="M30" s="6">
        <f t="shared" si="9"/>
        <v>0</v>
      </c>
      <c r="N30" s="6">
        <f t="shared" si="9"/>
        <v>0</v>
      </c>
      <c r="O30" s="6">
        <f t="shared" si="9"/>
        <v>112309.71999999999</v>
      </c>
      <c r="P30" s="6">
        <f t="shared" si="9"/>
        <v>0</v>
      </c>
      <c r="Q30" s="6">
        <f t="shared" si="9"/>
        <v>112309.71999999999</v>
      </c>
      <c r="R30" s="17">
        <f>D30+J30+K30+N30+Q30</f>
        <v>1021278.5399999999</v>
      </c>
    </row>
    <row r="31" spans="1:18" x14ac:dyDescent="0.25">
      <c r="B31" s="55" t="str">
        <f>IF(B14=B30,"YES","NO")</f>
        <v>YES</v>
      </c>
      <c r="C31" s="55" t="str">
        <f t="shared" ref="C31:R31" si="10">IF(C14=C30,"YES","NO")</f>
        <v>YES</v>
      </c>
      <c r="D31" s="55" t="str">
        <f t="shared" si="10"/>
        <v>YES</v>
      </c>
      <c r="E31" s="55" t="str">
        <f t="shared" si="10"/>
        <v>YES</v>
      </c>
      <c r="F31" s="55" t="str">
        <f t="shared" si="10"/>
        <v>YES</v>
      </c>
      <c r="G31" s="55" t="str">
        <f t="shared" si="10"/>
        <v>YES</v>
      </c>
      <c r="H31" s="55" t="str">
        <f t="shared" si="10"/>
        <v>YES</v>
      </c>
      <c r="I31" s="55" t="str">
        <f t="shared" si="10"/>
        <v>YES</v>
      </c>
      <c r="J31" s="55" t="str">
        <f t="shared" si="10"/>
        <v>YES</v>
      </c>
      <c r="K31" s="55" t="str">
        <f t="shared" si="10"/>
        <v>YES</v>
      </c>
      <c r="L31" s="55" t="str">
        <f t="shared" si="10"/>
        <v>YES</v>
      </c>
      <c r="M31" s="55" t="str">
        <f t="shared" si="10"/>
        <v>YES</v>
      </c>
      <c r="N31" s="55" t="str">
        <f t="shared" si="10"/>
        <v>YES</v>
      </c>
      <c r="O31" s="55" t="str">
        <f t="shared" si="10"/>
        <v>YES</v>
      </c>
      <c r="P31" s="55" t="str">
        <f t="shared" si="10"/>
        <v>YES</v>
      </c>
      <c r="Q31" s="55" t="str">
        <f t="shared" si="10"/>
        <v>YES</v>
      </c>
      <c r="R31" s="55" t="str">
        <f t="shared" si="10"/>
        <v>YES</v>
      </c>
    </row>
    <row r="32" spans="1:18" x14ac:dyDescent="0.25">
      <c r="A32" s="3" t="s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17">
        <f t="shared" ref="R32:R58" si="11">D32+J32+K32+N32+Q32</f>
        <v>0</v>
      </c>
    </row>
    <row r="33" spans="1:18" x14ac:dyDescent="0.25">
      <c r="A33" s="4" t="s">
        <v>21</v>
      </c>
      <c r="B33" s="21">
        <v>7589297.0800000001</v>
      </c>
      <c r="C33" s="21">
        <f>15385+10598</f>
        <v>25983</v>
      </c>
      <c r="D33" s="6">
        <f>B33+C33</f>
        <v>7615280.0800000001</v>
      </c>
      <c r="E33" s="21"/>
      <c r="F33" s="21"/>
      <c r="G33" s="6">
        <f>E33+F33</f>
        <v>0</v>
      </c>
      <c r="H33" s="21"/>
      <c r="I33" s="21"/>
      <c r="J33" s="6">
        <f>H33+I33</f>
        <v>0</v>
      </c>
      <c r="K33" s="21"/>
      <c r="L33" s="21"/>
      <c r="M33" s="21"/>
      <c r="N33" s="6">
        <f>L33+M33</f>
        <v>0</v>
      </c>
      <c r="O33" s="21">
        <v>885302.29</v>
      </c>
      <c r="P33" s="21"/>
      <c r="Q33" s="6">
        <f>O33+P33</f>
        <v>885302.29</v>
      </c>
      <c r="R33" s="17">
        <f t="shared" ref="R33:R38" si="12">D33+G33+J33+K33+N33+Q33</f>
        <v>8500582.370000001</v>
      </c>
    </row>
    <row r="34" spans="1:18" x14ac:dyDescent="0.25">
      <c r="A34" s="4" t="s">
        <v>22</v>
      </c>
      <c r="B34" s="21">
        <v>115703.57</v>
      </c>
      <c r="C34" s="21"/>
      <c r="D34" s="6">
        <f>B34+C34</f>
        <v>115703.57</v>
      </c>
      <c r="E34" s="21"/>
      <c r="F34" s="21"/>
      <c r="G34" s="6">
        <f>E34+F34</f>
        <v>0</v>
      </c>
      <c r="H34" s="21"/>
      <c r="I34" s="21"/>
      <c r="J34" s="6">
        <f>H34+I34</f>
        <v>0</v>
      </c>
      <c r="K34" s="21">
        <v>-639.83000000000004</v>
      </c>
      <c r="L34" s="21"/>
      <c r="M34" s="21"/>
      <c r="N34" s="6">
        <f>L34+M34</f>
        <v>0</v>
      </c>
      <c r="O34" s="21"/>
      <c r="P34" s="21"/>
      <c r="Q34" s="6">
        <f>O34+P34</f>
        <v>0</v>
      </c>
      <c r="R34" s="17">
        <f t="shared" si="12"/>
        <v>115063.74</v>
      </c>
    </row>
    <row r="35" spans="1:18" x14ac:dyDescent="0.25">
      <c r="A35" s="4" t="s">
        <v>202</v>
      </c>
      <c r="B35" s="21"/>
      <c r="C35" s="21"/>
      <c r="D35" s="6">
        <f>B35+C35</f>
        <v>0</v>
      </c>
      <c r="E35" s="21"/>
      <c r="F35" s="21"/>
      <c r="G35" s="6">
        <f>E35+F35</f>
        <v>0</v>
      </c>
      <c r="H35" s="21"/>
      <c r="I35" s="21"/>
      <c r="J35" s="6">
        <f>H35+I35</f>
        <v>0</v>
      </c>
      <c r="K35" s="21"/>
      <c r="L35" s="21"/>
      <c r="M35" s="21"/>
      <c r="N35" s="6">
        <f>L35+M35</f>
        <v>0</v>
      </c>
      <c r="O35" s="21"/>
      <c r="P35" s="21"/>
      <c r="Q35" s="6">
        <f>O35+P35</f>
        <v>0</v>
      </c>
      <c r="R35" s="17">
        <f t="shared" si="12"/>
        <v>0</v>
      </c>
    </row>
    <row r="36" spans="1:18" x14ac:dyDescent="0.25">
      <c r="A36" s="4" t="s">
        <v>23</v>
      </c>
      <c r="B36" s="21"/>
      <c r="C36" s="21"/>
      <c r="D36" s="6">
        <f>B36+C36</f>
        <v>0</v>
      </c>
      <c r="E36" s="21"/>
      <c r="F36" s="21"/>
      <c r="G36" s="6">
        <f>E36+F36</f>
        <v>0</v>
      </c>
      <c r="H36" s="21"/>
      <c r="I36" s="21"/>
      <c r="J36" s="6">
        <f>H36+I36</f>
        <v>0</v>
      </c>
      <c r="K36" s="21">
        <f>89.53+22</f>
        <v>111.53</v>
      </c>
      <c r="L36" s="21"/>
      <c r="M36" s="21"/>
      <c r="N36" s="6">
        <f>L36+M36</f>
        <v>0</v>
      </c>
      <c r="O36" s="21"/>
      <c r="P36" s="21"/>
      <c r="Q36" s="6">
        <f>O36+P36</f>
        <v>0</v>
      </c>
      <c r="R36" s="17">
        <f t="shared" si="12"/>
        <v>111.53</v>
      </c>
    </row>
    <row r="37" spans="1:18" x14ac:dyDescent="0.25">
      <c r="A37" s="4" t="s">
        <v>24</v>
      </c>
      <c r="B37" s="21">
        <f>5043-5043</f>
        <v>0</v>
      </c>
      <c r="C37" s="21"/>
      <c r="D37" s="6">
        <f>B37+C37</f>
        <v>0</v>
      </c>
      <c r="E37" s="21"/>
      <c r="F37" s="21"/>
      <c r="G37" s="6">
        <f>E37+F37</f>
        <v>0</v>
      </c>
      <c r="H37" s="21"/>
      <c r="I37" s="21"/>
      <c r="J37" s="6">
        <f>H37+I37</f>
        <v>0</v>
      </c>
      <c r="K37" s="21"/>
      <c r="L37" s="21"/>
      <c r="M37" s="21"/>
      <c r="N37" s="6">
        <f>L37+M37</f>
        <v>0</v>
      </c>
      <c r="O37" s="21">
        <v>42720</v>
      </c>
      <c r="P37" s="21">
        <v>134340.5</v>
      </c>
      <c r="Q37" s="6">
        <f>O37+P37</f>
        <v>177060.5</v>
      </c>
      <c r="R37" s="17">
        <f t="shared" si="12"/>
        <v>177060.5</v>
      </c>
    </row>
    <row r="38" spans="1:18" x14ac:dyDescent="0.25">
      <c r="A38" s="2" t="s">
        <v>25</v>
      </c>
      <c r="B38" s="6">
        <f t="shared" ref="B38:Q38" si="13">SUM(B33:B37)</f>
        <v>7705000.6500000004</v>
      </c>
      <c r="C38" s="6">
        <f t="shared" si="13"/>
        <v>25983</v>
      </c>
      <c r="D38" s="6">
        <f t="shared" si="13"/>
        <v>7730983.6500000004</v>
      </c>
      <c r="E38" s="6">
        <f t="shared" si="13"/>
        <v>0</v>
      </c>
      <c r="F38" s="6">
        <f t="shared" si="13"/>
        <v>0</v>
      </c>
      <c r="G38" s="6">
        <f t="shared" si="13"/>
        <v>0</v>
      </c>
      <c r="H38" s="6">
        <f t="shared" si="13"/>
        <v>0</v>
      </c>
      <c r="I38" s="6">
        <f t="shared" si="13"/>
        <v>0</v>
      </c>
      <c r="J38" s="6">
        <f t="shared" si="13"/>
        <v>0</v>
      </c>
      <c r="K38" s="6">
        <f t="shared" si="13"/>
        <v>-528.30000000000007</v>
      </c>
      <c r="L38" s="6">
        <f t="shared" si="13"/>
        <v>0</v>
      </c>
      <c r="M38" s="6">
        <f t="shared" si="13"/>
        <v>0</v>
      </c>
      <c r="N38" s="6">
        <f t="shared" si="13"/>
        <v>0</v>
      </c>
      <c r="O38" s="6">
        <f t="shared" si="13"/>
        <v>928022.29</v>
      </c>
      <c r="P38" s="6">
        <f t="shared" si="13"/>
        <v>134340.5</v>
      </c>
      <c r="Q38" s="6">
        <f t="shared" si="13"/>
        <v>1062362.79</v>
      </c>
      <c r="R38" s="17">
        <f t="shared" si="12"/>
        <v>8792818.1400000006</v>
      </c>
    </row>
    <row r="39" spans="1:18" x14ac:dyDescent="0.2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17">
        <f t="shared" si="11"/>
        <v>0</v>
      </c>
    </row>
    <row r="40" spans="1:18" x14ac:dyDescent="0.25">
      <c r="A40" s="3" t="s">
        <v>26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17">
        <f t="shared" si="11"/>
        <v>0</v>
      </c>
    </row>
    <row r="41" spans="1:18" x14ac:dyDescent="0.25">
      <c r="A41" s="4" t="s">
        <v>27</v>
      </c>
      <c r="B41" s="62"/>
      <c r="C41" s="21"/>
      <c r="D41" s="6"/>
      <c r="E41" s="21"/>
      <c r="F41" s="21"/>
      <c r="G41" s="6"/>
      <c r="H41" s="21"/>
      <c r="I41" s="21"/>
      <c r="J41" s="6"/>
      <c r="K41" s="21"/>
      <c r="L41" s="21"/>
      <c r="M41" s="21"/>
      <c r="N41" s="6"/>
      <c r="O41" s="62"/>
      <c r="P41" s="21"/>
      <c r="Q41" s="6"/>
      <c r="R41" s="17">
        <f t="shared" si="11"/>
        <v>0</v>
      </c>
    </row>
    <row r="42" spans="1:18" x14ac:dyDescent="0.25">
      <c r="A42" s="4" t="s">
        <v>28</v>
      </c>
      <c r="B42" s="62"/>
      <c r="C42" s="21"/>
      <c r="D42" s="6">
        <f>B42+C42</f>
        <v>0</v>
      </c>
      <c r="E42" s="21"/>
      <c r="F42" s="21"/>
      <c r="G42" s="6">
        <f>E42+F42</f>
        <v>0</v>
      </c>
      <c r="H42" s="21"/>
      <c r="I42" s="21"/>
      <c r="J42" s="6">
        <f>H42+I42</f>
        <v>0</v>
      </c>
      <c r="K42" s="21"/>
      <c r="L42" s="21"/>
      <c r="M42" s="21"/>
      <c r="N42" s="6">
        <f>L42+M42</f>
        <v>0</v>
      </c>
      <c r="O42" s="62"/>
      <c r="P42" s="21"/>
      <c r="Q42" s="6">
        <f>O42+P42</f>
        <v>0</v>
      </c>
      <c r="R42" s="17">
        <f t="shared" si="11"/>
        <v>0</v>
      </c>
    </row>
    <row r="43" spans="1:18" x14ac:dyDescent="0.25">
      <c r="A43" s="4" t="s">
        <v>29</v>
      </c>
      <c r="B43" s="62"/>
      <c r="C43" s="21"/>
      <c r="D43" s="6">
        <f>B43+C43</f>
        <v>0</v>
      </c>
      <c r="E43" s="21"/>
      <c r="F43" s="21"/>
      <c r="G43" s="6">
        <f>E43+F43</f>
        <v>0</v>
      </c>
      <c r="H43" s="21"/>
      <c r="I43" s="21"/>
      <c r="J43" s="6">
        <f>H43+I43</f>
        <v>0</v>
      </c>
      <c r="K43" s="21"/>
      <c r="L43" s="21"/>
      <c r="M43" s="21"/>
      <c r="N43" s="6">
        <f>L43+M43</f>
        <v>0</v>
      </c>
      <c r="O43" s="62"/>
      <c r="P43" s="21"/>
      <c r="Q43" s="6">
        <f>O43+P43</f>
        <v>0</v>
      </c>
      <c r="R43" s="17">
        <f t="shared" si="11"/>
        <v>0</v>
      </c>
    </row>
    <row r="44" spans="1:18" x14ac:dyDescent="0.25">
      <c r="A44" s="4" t="s">
        <v>30</v>
      </c>
      <c r="B44" s="62"/>
      <c r="C44" s="21"/>
      <c r="D44" s="6">
        <f>B44+C44</f>
        <v>0</v>
      </c>
      <c r="E44" s="21"/>
      <c r="F44" s="21"/>
      <c r="G44" s="6">
        <f>E44+F44</f>
        <v>0</v>
      </c>
      <c r="H44" s="21"/>
      <c r="I44" s="21"/>
      <c r="J44" s="6">
        <f>H44+I44</f>
        <v>0</v>
      </c>
      <c r="K44" s="21"/>
      <c r="L44" s="21"/>
      <c r="M44" s="21"/>
      <c r="N44" s="6">
        <f>L44+M44</f>
        <v>0</v>
      </c>
      <c r="O44" s="62"/>
      <c r="P44" s="21"/>
      <c r="Q44" s="6">
        <f>O44+P44</f>
        <v>0</v>
      </c>
      <c r="R44" s="17">
        <f t="shared" si="11"/>
        <v>0</v>
      </c>
    </row>
    <row r="45" spans="1:18" x14ac:dyDescent="0.25">
      <c r="A45" s="4" t="s">
        <v>31</v>
      </c>
      <c r="B45" s="21">
        <v>8466584.3599999994</v>
      </c>
      <c r="C45" s="21">
        <v>-115</v>
      </c>
      <c r="D45" s="6">
        <f>B45+C45</f>
        <v>8466469.3599999994</v>
      </c>
      <c r="E45" s="21">
        <v>0</v>
      </c>
      <c r="F45" s="21">
        <f>4578.18+0.48</f>
        <v>4578.66</v>
      </c>
      <c r="G45" s="6">
        <f>E45+F45</f>
        <v>4578.66</v>
      </c>
      <c r="H45" s="21"/>
      <c r="I45" s="21"/>
      <c r="J45" s="6">
        <f>H45+I45</f>
        <v>0</v>
      </c>
      <c r="K45" s="21"/>
      <c r="L45" s="21"/>
      <c r="M45" s="21"/>
      <c r="N45" s="6">
        <f>L45+M45</f>
        <v>0</v>
      </c>
      <c r="O45" s="21">
        <f>885304.29+42720</f>
        <v>928024.29</v>
      </c>
      <c r="P45" s="21">
        <v>134340.5</v>
      </c>
      <c r="Q45" s="6">
        <f>O45+P45</f>
        <v>1062364.79</v>
      </c>
      <c r="R45" s="17">
        <f t="shared" si="11"/>
        <v>9528834.1499999985</v>
      </c>
    </row>
    <row r="46" spans="1:18" x14ac:dyDescent="0.25">
      <c r="A46" s="4" t="s">
        <v>62</v>
      </c>
      <c r="B46" s="62"/>
      <c r="C46" s="21"/>
      <c r="D46" s="6">
        <f>B46+C46</f>
        <v>0</v>
      </c>
      <c r="E46" s="21"/>
      <c r="F46" s="21"/>
      <c r="G46" s="6">
        <f>E46+F46</f>
        <v>0</v>
      </c>
      <c r="H46" s="21"/>
      <c r="I46" s="21"/>
      <c r="J46" s="6">
        <f>H46+I46</f>
        <v>0</v>
      </c>
      <c r="K46" s="21"/>
      <c r="L46" s="21"/>
      <c r="M46" s="21"/>
      <c r="N46" s="6">
        <f>L46+M46</f>
        <v>0</v>
      </c>
      <c r="O46" s="62"/>
      <c r="P46" s="21"/>
      <c r="Q46" s="6">
        <f>O46+P46</f>
        <v>0</v>
      </c>
      <c r="R46" s="17">
        <f t="shared" si="11"/>
        <v>0</v>
      </c>
    </row>
    <row r="47" spans="1:18" x14ac:dyDescent="0.25">
      <c r="A47" s="2" t="s">
        <v>32</v>
      </c>
      <c r="B47" s="6">
        <f t="shared" ref="B47:Q47" si="14">SUM(B41:B46)</f>
        <v>8466584.3599999994</v>
      </c>
      <c r="C47" s="6">
        <f t="shared" si="14"/>
        <v>-115</v>
      </c>
      <c r="D47" s="6">
        <f t="shared" si="14"/>
        <v>8466469.3599999994</v>
      </c>
      <c r="E47" s="6">
        <f t="shared" si="14"/>
        <v>0</v>
      </c>
      <c r="F47" s="6">
        <f t="shared" si="14"/>
        <v>4578.66</v>
      </c>
      <c r="G47" s="6">
        <f t="shared" si="14"/>
        <v>4578.66</v>
      </c>
      <c r="H47" s="6">
        <f t="shared" si="14"/>
        <v>0</v>
      </c>
      <c r="I47" s="6">
        <f t="shared" si="14"/>
        <v>0</v>
      </c>
      <c r="J47" s="6">
        <f t="shared" si="14"/>
        <v>0</v>
      </c>
      <c r="K47" s="6">
        <f t="shared" si="14"/>
        <v>0</v>
      </c>
      <c r="L47" s="6">
        <f t="shared" si="14"/>
        <v>0</v>
      </c>
      <c r="M47" s="6">
        <f t="shared" si="14"/>
        <v>0</v>
      </c>
      <c r="N47" s="6">
        <f t="shared" si="14"/>
        <v>0</v>
      </c>
      <c r="O47" s="6">
        <f t="shared" si="14"/>
        <v>928024.29</v>
      </c>
      <c r="P47" s="6">
        <f t="shared" si="14"/>
        <v>134340.5</v>
      </c>
      <c r="Q47" s="6">
        <f t="shared" si="14"/>
        <v>1062364.79</v>
      </c>
      <c r="R47" s="17">
        <f t="shared" si="11"/>
        <v>9528834.1499999985</v>
      </c>
    </row>
    <row r="48" spans="1:18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17">
        <f t="shared" si="11"/>
        <v>0</v>
      </c>
    </row>
    <row r="49" spans="1:18" x14ac:dyDescent="0.25">
      <c r="A49" s="2" t="s">
        <v>33</v>
      </c>
      <c r="B49" s="6">
        <f t="shared" ref="B49:Q49" si="15">B38-B47</f>
        <v>-761583.70999999903</v>
      </c>
      <c r="C49" s="6">
        <f t="shared" si="15"/>
        <v>26098</v>
      </c>
      <c r="D49" s="6">
        <f t="shared" si="15"/>
        <v>-735485.70999999903</v>
      </c>
      <c r="E49" s="6">
        <f t="shared" si="15"/>
        <v>0</v>
      </c>
      <c r="F49" s="6">
        <f t="shared" si="15"/>
        <v>-4578.66</v>
      </c>
      <c r="G49" s="6">
        <f t="shared" si="15"/>
        <v>-4578.66</v>
      </c>
      <c r="H49" s="6">
        <f t="shared" si="15"/>
        <v>0</v>
      </c>
      <c r="I49" s="6">
        <f t="shared" si="15"/>
        <v>0</v>
      </c>
      <c r="J49" s="6">
        <f t="shared" si="15"/>
        <v>0</v>
      </c>
      <c r="K49" s="6">
        <f t="shared" si="15"/>
        <v>-528.30000000000007</v>
      </c>
      <c r="L49" s="6">
        <f t="shared" si="15"/>
        <v>0</v>
      </c>
      <c r="M49" s="6">
        <f t="shared" si="15"/>
        <v>0</v>
      </c>
      <c r="N49" s="6">
        <f t="shared" si="15"/>
        <v>0</v>
      </c>
      <c r="O49" s="6">
        <f t="shared" si="15"/>
        <v>-2</v>
      </c>
      <c r="P49" s="6">
        <f t="shared" si="15"/>
        <v>0</v>
      </c>
      <c r="Q49" s="6">
        <f t="shared" si="15"/>
        <v>-2</v>
      </c>
      <c r="R49" s="17">
        <f t="shared" si="11"/>
        <v>-736016.00999999908</v>
      </c>
    </row>
    <row r="50" spans="1:18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17">
        <f t="shared" si="11"/>
        <v>0</v>
      </c>
    </row>
    <row r="51" spans="1:18" x14ac:dyDescent="0.25">
      <c r="A51" t="s">
        <v>301</v>
      </c>
      <c r="B51" s="21">
        <v>5043</v>
      </c>
      <c r="C51" s="21"/>
      <c r="D51" s="6">
        <f>B51+C51</f>
        <v>5043</v>
      </c>
      <c r="E51" s="21"/>
      <c r="F51" s="21"/>
      <c r="G51" s="6">
        <f>E51+F51</f>
        <v>0</v>
      </c>
      <c r="H51" s="21"/>
      <c r="I51" s="21"/>
      <c r="J51" s="6">
        <f>H51+I51</f>
        <v>0</v>
      </c>
      <c r="K51" s="21"/>
      <c r="L51" s="21"/>
      <c r="M51" s="21"/>
      <c r="N51" s="6">
        <f>L51+M51</f>
        <v>0</v>
      </c>
      <c r="O51" s="21"/>
      <c r="P51" s="21"/>
      <c r="Q51" s="6">
        <f>O51+P51</f>
        <v>0</v>
      </c>
      <c r="R51" s="17">
        <f t="shared" si="11"/>
        <v>5043</v>
      </c>
    </row>
    <row r="52" spans="1:18" x14ac:dyDescent="0.25">
      <c r="A52" t="s">
        <v>34</v>
      </c>
      <c r="B52" s="21">
        <v>1149996</v>
      </c>
      <c r="C52" s="21"/>
      <c r="D52" s="6">
        <f>B52+C52</f>
        <v>1149996</v>
      </c>
      <c r="E52" s="21"/>
      <c r="F52" s="21"/>
      <c r="G52" s="6">
        <f>E52+F52</f>
        <v>0</v>
      </c>
      <c r="H52" s="21"/>
      <c r="I52" s="21"/>
      <c r="J52" s="6">
        <f>H52+I52</f>
        <v>0</v>
      </c>
      <c r="K52" s="21"/>
      <c r="L52" s="21"/>
      <c r="M52" s="21"/>
      <c r="N52" s="6">
        <f>L52+M52</f>
        <v>0</v>
      </c>
      <c r="O52" s="21"/>
      <c r="P52" s="21"/>
      <c r="Q52" s="6">
        <f>O52+P52</f>
        <v>0</v>
      </c>
      <c r="R52" s="17">
        <f t="shared" si="11"/>
        <v>1149996</v>
      </c>
    </row>
    <row r="53" spans="1:18" x14ac:dyDescent="0.25">
      <c r="A53" t="s">
        <v>35</v>
      </c>
      <c r="B53" s="21">
        <v>419529.28</v>
      </c>
      <c r="C53" s="21"/>
      <c r="D53" s="6">
        <f>B53+C53</f>
        <v>419529.28</v>
      </c>
      <c r="E53" s="21"/>
      <c r="F53" s="21">
        <v>-4578.66</v>
      </c>
      <c r="G53" s="6">
        <f>E53+F53</f>
        <v>-4578.66</v>
      </c>
      <c r="H53" s="21"/>
      <c r="I53" s="21"/>
      <c r="J53" s="6">
        <f>H53+I53</f>
        <v>0</v>
      </c>
      <c r="K53" s="21"/>
      <c r="L53" s="21"/>
      <c r="M53" s="21"/>
      <c r="N53" s="6">
        <f>L53+M53</f>
        <v>0</v>
      </c>
      <c r="O53" s="21"/>
      <c r="P53" s="21"/>
      <c r="Q53" s="6">
        <f>O53+P53</f>
        <v>0</v>
      </c>
      <c r="R53" s="17">
        <f t="shared" si="11"/>
        <v>419529.28</v>
      </c>
    </row>
    <row r="54" spans="1:18" x14ac:dyDescent="0.25">
      <c r="A54" s="2" t="s">
        <v>36</v>
      </c>
      <c r="B54" s="6">
        <f>B51+B52-B53</f>
        <v>735509.72</v>
      </c>
      <c r="C54" s="6">
        <f>C51+C52-C53</f>
        <v>0</v>
      </c>
      <c r="D54" s="6">
        <f>B54+C54</f>
        <v>735509.72</v>
      </c>
      <c r="E54" s="6">
        <f>E51+E52-E53</f>
        <v>0</v>
      </c>
      <c r="F54" s="6">
        <f>F51+F52-F53</f>
        <v>4578.66</v>
      </c>
      <c r="G54" s="6">
        <f>E54+F54</f>
        <v>4578.66</v>
      </c>
      <c r="H54" s="6">
        <f>H51+H52-H53</f>
        <v>0</v>
      </c>
      <c r="I54" s="6">
        <f>I51+I52-I53</f>
        <v>0</v>
      </c>
      <c r="J54" s="6">
        <f>H54+I54</f>
        <v>0</v>
      </c>
      <c r="K54" s="6">
        <f>K51+K52-K53</f>
        <v>0</v>
      </c>
      <c r="L54" s="6">
        <f>L51+L52-L53</f>
        <v>0</v>
      </c>
      <c r="M54" s="6">
        <f>M51+M52-M53</f>
        <v>0</v>
      </c>
      <c r="N54" s="6">
        <f>L54+M54</f>
        <v>0</v>
      </c>
      <c r="O54" s="6">
        <f>O51+O52-O53</f>
        <v>0</v>
      </c>
      <c r="P54" s="6">
        <f>P51+P52-P53</f>
        <v>0</v>
      </c>
      <c r="Q54" s="6">
        <f>O54+P54</f>
        <v>0</v>
      </c>
      <c r="R54" s="17">
        <f t="shared" si="11"/>
        <v>735509.72</v>
      </c>
    </row>
    <row r="55" spans="1:18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17">
        <f t="shared" si="11"/>
        <v>0</v>
      </c>
    </row>
    <row r="56" spans="1:18" x14ac:dyDescent="0.25">
      <c r="A56" s="2" t="s">
        <v>37</v>
      </c>
      <c r="B56" s="30">
        <f t="shared" ref="B56:Q56" si="16">B49+B54</f>
        <v>-26073.989999999059</v>
      </c>
      <c r="C56" s="30">
        <f t="shared" si="16"/>
        <v>26098</v>
      </c>
      <c r="D56" s="6">
        <f t="shared" si="16"/>
        <v>24.010000000940636</v>
      </c>
      <c r="E56" s="6">
        <f t="shared" si="16"/>
        <v>0</v>
      </c>
      <c r="F56" s="6">
        <f t="shared" si="16"/>
        <v>0</v>
      </c>
      <c r="G56" s="6">
        <f t="shared" si="16"/>
        <v>0</v>
      </c>
      <c r="H56" s="30">
        <f t="shared" si="16"/>
        <v>0</v>
      </c>
      <c r="I56" s="30">
        <f t="shared" si="16"/>
        <v>0</v>
      </c>
      <c r="J56" s="6">
        <f t="shared" si="16"/>
        <v>0</v>
      </c>
      <c r="K56" s="30">
        <f t="shared" si="16"/>
        <v>-528.30000000000007</v>
      </c>
      <c r="L56" s="30">
        <f t="shared" si="16"/>
        <v>0</v>
      </c>
      <c r="M56" s="30">
        <f t="shared" si="16"/>
        <v>0</v>
      </c>
      <c r="N56" s="6">
        <f t="shared" si="16"/>
        <v>0</v>
      </c>
      <c r="O56" s="30">
        <f t="shared" si="16"/>
        <v>-2</v>
      </c>
      <c r="P56" s="30">
        <f t="shared" si="16"/>
        <v>0</v>
      </c>
      <c r="Q56" s="6">
        <f t="shared" si="16"/>
        <v>-2</v>
      </c>
      <c r="R56" s="17">
        <f>D56+J56+K56+N56+Q56</f>
        <v>-506.28999999905943</v>
      </c>
    </row>
    <row r="57" spans="1:18" x14ac:dyDescent="0.25">
      <c r="A57" t="s">
        <v>38</v>
      </c>
      <c r="B57" s="6">
        <f t="shared" ref="B57:Q57" si="17">B58-B56</f>
        <v>88.57999999905951</v>
      </c>
      <c r="C57" s="6">
        <f t="shared" si="17"/>
        <v>-115</v>
      </c>
      <c r="D57" s="6">
        <f t="shared" si="17"/>
        <v>-26.42000000094049</v>
      </c>
      <c r="E57" s="6">
        <f t="shared" si="17"/>
        <v>0</v>
      </c>
      <c r="F57" s="6">
        <f t="shared" si="17"/>
        <v>0</v>
      </c>
      <c r="G57" s="6">
        <f t="shared" si="17"/>
        <v>0</v>
      </c>
      <c r="H57" s="6">
        <f t="shared" si="17"/>
        <v>0</v>
      </c>
      <c r="I57" s="6">
        <f t="shared" si="17"/>
        <v>0</v>
      </c>
      <c r="J57" s="6">
        <f t="shared" si="17"/>
        <v>0</v>
      </c>
      <c r="K57" s="6">
        <f t="shared" si="17"/>
        <v>36748.160000000003</v>
      </c>
      <c r="L57" s="6">
        <f t="shared" si="17"/>
        <v>0</v>
      </c>
      <c r="M57" s="6">
        <f t="shared" si="17"/>
        <v>0</v>
      </c>
      <c r="N57" s="6">
        <f t="shared" si="17"/>
        <v>0</v>
      </c>
      <c r="O57" s="6">
        <f t="shared" si="17"/>
        <v>0.22999999999999998</v>
      </c>
      <c r="P57" s="6">
        <f t="shared" si="17"/>
        <v>0</v>
      </c>
      <c r="Q57" s="6">
        <f t="shared" si="17"/>
        <v>0.22999999999999998</v>
      </c>
      <c r="R57" s="17">
        <f t="shared" si="11"/>
        <v>36721.969999999063</v>
      </c>
    </row>
    <row r="58" spans="1:18" x14ac:dyDescent="0.25">
      <c r="A58" s="2" t="s">
        <v>39</v>
      </c>
      <c r="B58" s="6">
        <f t="shared" ref="B58:Q58" si="18">B28</f>
        <v>-25985.41</v>
      </c>
      <c r="C58" s="6">
        <f t="shared" si="18"/>
        <v>25983</v>
      </c>
      <c r="D58" s="6">
        <f t="shared" si="18"/>
        <v>-2.4099999999998545</v>
      </c>
      <c r="E58" s="6">
        <f t="shared" si="18"/>
        <v>0</v>
      </c>
      <c r="F58" s="6">
        <f t="shared" si="18"/>
        <v>0</v>
      </c>
      <c r="G58" s="6">
        <f t="shared" si="18"/>
        <v>0</v>
      </c>
      <c r="H58" s="6">
        <f t="shared" si="18"/>
        <v>0</v>
      </c>
      <c r="I58" s="6">
        <f t="shared" si="18"/>
        <v>0</v>
      </c>
      <c r="J58" s="6">
        <f t="shared" si="18"/>
        <v>0</v>
      </c>
      <c r="K58" s="6">
        <f t="shared" si="18"/>
        <v>36219.86</v>
      </c>
      <c r="L58" s="6">
        <f t="shared" si="18"/>
        <v>0</v>
      </c>
      <c r="M58" s="6">
        <f t="shared" si="18"/>
        <v>0</v>
      </c>
      <c r="N58" s="6">
        <f t="shared" si="18"/>
        <v>0</v>
      </c>
      <c r="O58" s="6">
        <f t="shared" si="18"/>
        <v>-1.77</v>
      </c>
      <c r="P58" s="6">
        <f t="shared" si="18"/>
        <v>0</v>
      </c>
      <c r="Q58" s="6">
        <f t="shared" si="18"/>
        <v>-1.77</v>
      </c>
      <c r="R58" s="17">
        <f t="shared" si="11"/>
        <v>36215.68</v>
      </c>
    </row>
  </sheetData>
  <customSheetViews>
    <customSheetView guid="{E68B3865-8D72-47E7-BE32-0FF7EB09E889}" fitToPage="1">
      <pane xSplit="1" ySplit="5" topLeftCell="B6" activePane="bottomRight" state="frozen"/>
      <selection pane="bottomRight" activeCell="A4" sqref="A4"/>
      <pageMargins left="0.7" right="0.7" top="0.75" bottom="0.75" header="0.3" footer="0.3"/>
      <pageSetup scale="51" orientation="landscape" horizontalDpi="1200" r:id="rId1"/>
    </customSheetView>
    <customSheetView guid="{2B2709E2-6DF4-4CC4-88D0-056FB306137C}" fitToPage="1">
      <pane xSplit="1" ySplit="5" topLeftCell="B6" activePane="bottomRight" state="frozen"/>
      <selection pane="bottomRight" activeCell="C10" sqref="C10"/>
      <pageMargins left="0.7" right="0.7" top="0.75" bottom="0.75" header="0.3" footer="0.3"/>
      <pageSetup scale="51" orientation="landscape" horizontalDpi="1200" r:id="rId2"/>
    </customSheetView>
    <customSheetView guid="{EC03C3C8-7E57-47C6-8413-F484E8C46A0C}" showPageBreaks="1" fitToPage="1">
      <pane xSplit="1" ySplit="5" topLeftCell="G43" activePane="bottomRight" state="frozen"/>
      <selection pane="bottomRight" activeCell="R50" sqref="R50"/>
      <pageMargins left="0.7" right="0.7" top="0.75" bottom="0.75" header="0.3" footer="0.3"/>
      <pageSetup scale="51" orientation="landscape" horizontalDpi="1200" r:id="rId3"/>
    </customSheetView>
    <customSheetView guid="{A6F79E61-D6A3-44FD-B4A4-4724DF74349B}" showPageBreaks="1" fitToPage="1">
      <pane xSplit="1" ySplit="5" topLeftCell="B33" activePane="bottomRight" state="frozen"/>
      <selection pane="bottomRight" activeCell="C26" sqref="C26"/>
      <pageMargins left="0.7" right="0.7" top="0.75" bottom="0.75" header="0.3" footer="0.3"/>
      <pageSetup scale="49" orientation="landscape" horizontalDpi="1200" r:id="rId4"/>
    </customSheetView>
    <customSheetView guid="{DE6E911D-85BF-467A-AA00-1E84C5349CF7}" showPageBreaks="1" fitToPage="1">
      <pane xSplit="1" ySplit="5" topLeftCell="B9" activePane="bottomRight" state="frozen"/>
      <selection pane="bottomRight" activeCell="B28" sqref="B28"/>
      <pageMargins left="0.7" right="0.7" top="0.75" bottom="0.75" header="0.3" footer="0.3"/>
      <pageSetup scale="48" orientation="landscape" cellComments="asDisplayed" r:id="rId5"/>
    </customSheetView>
  </customSheetViews>
  <pageMargins left="0.7" right="0.7" top="0.75" bottom="0.75" header="0.3" footer="0.3"/>
  <pageSetup scale="51" orientation="landscape" horizontalDpi="1200" r:id="rId6"/>
  <legacyDrawing r:id="rId7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workbookViewId="0">
      <pane xSplit="1" ySplit="5" topLeftCell="B33" activePane="bottomRight" state="frozen"/>
      <selection pane="topRight" activeCell="B1" sqref="B1"/>
      <selection pane="bottomLeft" activeCell="A6" sqref="A6"/>
      <selection pane="bottomRight" activeCell="A4" sqref="A4"/>
    </sheetView>
  </sheetViews>
  <sheetFormatPr defaultRowHeight="15" outlineLevelCol="1" x14ac:dyDescent="0.25"/>
  <cols>
    <col min="1" max="1" width="31" customWidth="1"/>
    <col min="2" max="2" width="12.7109375" style="6" bestFit="1" customWidth="1" outlineLevel="1"/>
    <col min="3" max="3" width="12.7109375" style="6" customWidth="1" outlineLevel="1"/>
    <col min="4" max="4" width="13.5703125" style="6" bestFit="1" customWidth="1"/>
    <col min="5" max="5" width="13.5703125" style="6" customWidth="1"/>
    <col min="6" max="6" width="14" style="6" customWidth="1" outlineLevel="1"/>
    <col min="7" max="7" width="12.7109375" style="6" customWidth="1" outlineLevel="1"/>
    <col min="8" max="9" width="13.5703125" style="6" bestFit="1" customWidth="1"/>
    <col min="10" max="11" width="11.85546875" style="6" customWidth="1"/>
    <col min="12" max="12" width="14" style="6" customWidth="1"/>
    <col min="13" max="14" width="11.140625" style="6" bestFit="1" customWidth="1"/>
    <col min="15" max="15" width="9.140625" style="6"/>
    <col min="16" max="16" width="13.5703125" style="6" bestFit="1" customWidth="1"/>
    <col min="17" max="17" width="12.7109375" bestFit="1" customWidth="1"/>
  </cols>
  <sheetData>
    <row r="1" spans="1:16" ht="23.25" x14ac:dyDescent="0.35">
      <c r="A1" s="5" t="s">
        <v>276</v>
      </c>
    </row>
    <row r="2" spans="1:16" x14ac:dyDescent="0.25">
      <c r="A2" t="s">
        <v>1</v>
      </c>
    </row>
    <row r="3" spans="1:16" x14ac:dyDescent="0.25">
      <c r="A3" s="1">
        <v>43435</v>
      </c>
    </row>
    <row r="4" spans="1:16" x14ac:dyDescent="0.25">
      <c r="A4" s="1"/>
    </row>
    <row r="5" spans="1:16" ht="45" x14ac:dyDescent="0.25">
      <c r="A5" s="1"/>
      <c r="B5" s="7" t="s">
        <v>275</v>
      </c>
      <c r="C5" s="7" t="s">
        <v>47</v>
      </c>
      <c r="D5" s="7" t="s">
        <v>274</v>
      </c>
      <c r="E5" s="7" t="s">
        <v>273</v>
      </c>
      <c r="F5" s="7" t="s">
        <v>272</v>
      </c>
      <c r="G5" s="7" t="s">
        <v>47</v>
      </c>
      <c r="H5" s="7" t="s">
        <v>271</v>
      </c>
      <c r="I5" s="18" t="s">
        <v>270</v>
      </c>
      <c r="J5" s="7"/>
      <c r="K5" s="7"/>
      <c r="L5" s="7"/>
      <c r="M5" s="7"/>
      <c r="N5" s="7"/>
      <c r="O5" s="7"/>
      <c r="P5" s="7"/>
    </row>
    <row r="6" spans="1:16" x14ac:dyDescent="0.25">
      <c r="I6" s="17"/>
    </row>
    <row r="7" spans="1:16" x14ac:dyDescent="0.25">
      <c r="A7" s="3" t="s">
        <v>2</v>
      </c>
      <c r="I7" s="17"/>
    </row>
    <row r="8" spans="1:16" x14ac:dyDescent="0.25">
      <c r="A8" s="4" t="s">
        <v>3</v>
      </c>
      <c r="B8" s="21">
        <v>52991.01</v>
      </c>
      <c r="C8" s="21"/>
      <c r="D8" s="6">
        <f t="shared" ref="D8:D13" si="0">B8+C8</f>
        <v>52991.01</v>
      </c>
      <c r="E8" s="21">
        <v>293258.51</v>
      </c>
      <c r="F8" s="21"/>
      <c r="G8" s="80"/>
      <c r="H8" s="6">
        <f t="shared" ref="H8:H13" si="1">F8+G8</f>
        <v>0</v>
      </c>
      <c r="I8" s="17">
        <f>D8+E8+H8</f>
        <v>346249.52</v>
      </c>
    </row>
    <row r="9" spans="1:16" x14ac:dyDescent="0.25">
      <c r="A9" s="4" t="s">
        <v>189</v>
      </c>
      <c r="B9" s="21"/>
      <c r="C9" s="21"/>
      <c r="D9" s="6">
        <f t="shared" si="0"/>
        <v>0</v>
      </c>
      <c r="E9" s="21"/>
      <c r="F9" s="21"/>
      <c r="G9" s="21"/>
      <c r="H9" s="6">
        <f t="shared" si="1"/>
        <v>0</v>
      </c>
      <c r="I9" s="17"/>
    </row>
    <row r="10" spans="1:16" x14ac:dyDescent="0.25">
      <c r="A10" s="4" t="s">
        <v>4</v>
      </c>
      <c r="B10" s="21">
        <f>72189.46-3651.29</f>
        <v>68538.170000000013</v>
      </c>
      <c r="C10" s="21"/>
      <c r="D10" s="6">
        <f t="shared" si="0"/>
        <v>68538.170000000013</v>
      </c>
      <c r="E10" s="21"/>
      <c r="F10" s="21"/>
      <c r="G10" s="21"/>
      <c r="H10" s="6">
        <f t="shared" si="1"/>
        <v>0</v>
      </c>
      <c r="I10" s="17">
        <f>D10+E10+H10</f>
        <v>68538.170000000013</v>
      </c>
    </row>
    <row r="11" spans="1:16" x14ac:dyDescent="0.25">
      <c r="A11" s="4" t="s">
        <v>6</v>
      </c>
      <c r="B11" s="21">
        <v>6091.7</v>
      </c>
      <c r="C11" s="21"/>
      <c r="D11" s="6">
        <f t="shared" si="0"/>
        <v>6091.7</v>
      </c>
      <c r="E11" s="21">
        <v>2307.87</v>
      </c>
      <c r="F11" s="21"/>
      <c r="G11" s="21"/>
      <c r="H11" s="6">
        <f t="shared" si="1"/>
        <v>0</v>
      </c>
      <c r="I11" s="17">
        <f>D11+E11+H11</f>
        <v>8399.57</v>
      </c>
    </row>
    <row r="12" spans="1:16" x14ac:dyDescent="0.25">
      <c r="A12" s="4" t="s">
        <v>5</v>
      </c>
      <c r="B12" s="21">
        <v>3651.29</v>
      </c>
      <c r="C12" s="21"/>
      <c r="D12" s="6">
        <f t="shared" si="0"/>
        <v>3651.29</v>
      </c>
      <c r="E12" s="21"/>
      <c r="F12" s="21"/>
      <c r="G12" s="21"/>
      <c r="H12" s="6">
        <f t="shared" si="1"/>
        <v>0</v>
      </c>
      <c r="I12" s="17">
        <f>D12+E12+H12</f>
        <v>3651.29</v>
      </c>
    </row>
    <row r="13" spans="1:16" x14ac:dyDescent="0.25">
      <c r="A13" s="4" t="s">
        <v>61</v>
      </c>
      <c r="B13" s="21">
        <f>6091.7-6091.7</f>
        <v>0</v>
      </c>
      <c r="C13" s="21"/>
      <c r="D13" s="6">
        <f t="shared" si="0"/>
        <v>0</v>
      </c>
      <c r="E13" s="21"/>
      <c r="F13" s="21"/>
      <c r="G13" s="21"/>
      <c r="H13" s="6">
        <f t="shared" si="1"/>
        <v>0</v>
      </c>
      <c r="I13" s="17">
        <f>D13+E13+H13</f>
        <v>0</v>
      </c>
    </row>
    <row r="14" spans="1:16" x14ac:dyDescent="0.25">
      <c r="A14" s="2" t="s">
        <v>7</v>
      </c>
      <c r="B14" s="6">
        <f t="shared" ref="B14:H14" si="2">SUM(B8:B13)</f>
        <v>131272.17000000001</v>
      </c>
      <c r="C14" s="6">
        <f t="shared" si="2"/>
        <v>0</v>
      </c>
      <c r="D14" s="6">
        <f t="shared" si="2"/>
        <v>131272.17000000001</v>
      </c>
      <c r="E14" s="6">
        <f t="shared" si="2"/>
        <v>295566.38</v>
      </c>
      <c r="F14" s="6">
        <f t="shared" si="2"/>
        <v>0</v>
      </c>
      <c r="G14" s="6">
        <f t="shared" si="2"/>
        <v>0</v>
      </c>
      <c r="H14" s="6">
        <f t="shared" si="2"/>
        <v>0</v>
      </c>
      <c r="I14" s="17">
        <f>D14+E14+H14</f>
        <v>426838.55000000005</v>
      </c>
    </row>
    <row r="15" spans="1:16" x14ac:dyDescent="0.25">
      <c r="I15" s="17"/>
    </row>
    <row r="16" spans="1:16" x14ac:dyDescent="0.25">
      <c r="A16" s="3" t="s">
        <v>8</v>
      </c>
      <c r="I16" s="17"/>
    </row>
    <row r="17" spans="1:17" x14ac:dyDescent="0.25">
      <c r="A17" s="4" t="s">
        <v>9</v>
      </c>
      <c r="B17" s="21">
        <v>42438.81</v>
      </c>
      <c r="C17" s="21"/>
      <c r="D17" s="6">
        <f>B17+C17</f>
        <v>42438.81</v>
      </c>
      <c r="E17" s="21"/>
      <c r="F17" s="21"/>
      <c r="G17" s="21"/>
      <c r="H17" s="6">
        <f>F17+G17</f>
        <v>0</v>
      </c>
      <c r="I17" s="17">
        <f t="shared" ref="I17:I22" si="3">D17+E17+H17</f>
        <v>42438.81</v>
      </c>
    </row>
    <row r="18" spans="1:17" s="6" customFormat="1" x14ac:dyDescent="0.25">
      <c r="A18" s="4" t="s">
        <v>10</v>
      </c>
      <c r="B18" s="21">
        <v>23395.23</v>
      </c>
      <c r="C18" s="21"/>
      <c r="D18" s="6">
        <f>B18+C18</f>
        <v>23395.23</v>
      </c>
      <c r="E18" s="21"/>
      <c r="F18" s="21"/>
      <c r="G18" s="21"/>
      <c r="H18" s="6">
        <f>F18+G18</f>
        <v>0</v>
      </c>
      <c r="I18" s="17">
        <f t="shared" si="3"/>
        <v>23395.23</v>
      </c>
      <c r="Q18"/>
    </row>
    <row r="19" spans="1:17" s="6" customFormat="1" x14ac:dyDescent="0.25">
      <c r="A19" s="4" t="s">
        <v>190</v>
      </c>
      <c r="B19" s="21"/>
      <c r="C19" s="21"/>
      <c r="D19" s="6">
        <f>B19+C19</f>
        <v>0</v>
      </c>
      <c r="E19" s="21"/>
      <c r="F19" s="21"/>
      <c r="G19" s="21"/>
      <c r="H19" s="6">
        <f>F19+G19</f>
        <v>0</v>
      </c>
      <c r="I19" s="17">
        <f t="shared" si="3"/>
        <v>0</v>
      </c>
      <c r="Q19"/>
    </row>
    <row r="20" spans="1:17" s="6" customFormat="1" x14ac:dyDescent="0.25">
      <c r="A20" s="4" t="s">
        <v>11</v>
      </c>
      <c r="B20" s="21"/>
      <c r="C20" s="21"/>
      <c r="D20" s="6">
        <f>B20+C20</f>
        <v>0</v>
      </c>
      <c r="E20" s="21"/>
      <c r="F20" s="21"/>
      <c r="G20" s="21"/>
      <c r="H20" s="6">
        <f>F20+G20</f>
        <v>0</v>
      </c>
      <c r="I20" s="17">
        <f t="shared" si="3"/>
        <v>0</v>
      </c>
      <c r="Q20"/>
    </row>
    <row r="21" spans="1:17" s="6" customFormat="1" x14ac:dyDescent="0.25">
      <c r="A21" s="4" t="s">
        <v>12</v>
      </c>
      <c r="B21" s="21">
        <v>69802.53</v>
      </c>
      <c r="C21" s="21">
        <v>-4366</v>
      </c>
      <c r="D21" s="6">
        <f>B21+C21</f>
        <v>65436.53</v>
      </c>
      <c r="E21" s="21"/>
      <c r="F21" s="21"/>
      <c r="G21" s="21"/>
      <c r="H21" s="6">
        <f>F21+G21</f>
        <v>0</v>
      </c>
      <c r="I21" s="17">
        <f t="shared" si="3"/>
        <v>65436.53</v>
      </c>
      <c r="Q21"/>
    </row>
    <row r="22" spans="1:17" s="6" customFormat="1" x14ac:dyDescent="0.25">
      <c r="A22" s="2" t="s">
        <v>13</v>
      </c>
      <c r="B22" s="6">
        <f t="shared" ref="B22:H22" si="4">SUM(B17:B21)</f>
        <v>135636.57</v>
      </c>
      <c r="C22" s="6">
        <f t="shared" si="4"/>
        <v>-4366</v>
      </c>
      <c r="D22" s="6">
        <f t="shared" si="4"/>
        <v>131270.57</v>
      </c>
      <c r="E22" s="6">
        <f t="shared" si="4"/>
        <v>0</v>
      </c>
      <c r="F22" s="6">
        <f t="shared" si="4"/>
        <v>0</v>
      </c>
      <c r="G22" s="6">
        <f t="shared" si="4"/>
        <v>0</v>
      </c>
      <c r="H22" s="6">
        <f t="shared" si="4"/>
        <v>0</v>
      </c>
      <c r="I22" s="17">
        <f t="shared" si="3"/>
        <v>131270.57</v>
      </c>
      <c r="Q22"/>
    </row>
    <row r="23" spans="1:17" s="6" customFormat="1" x14ac:dyDescent="0.25">
      <c r="A23"/>
      <c r="I23" s="17"/>
      <c r="Q23"/>
    </row>
    <row r="24" spans="1:17" s="6" customFormat="1" x14ac:dyDescent="0.25">
      <c r="A24" s="3" t="s">
        <v>14</v>
      </c>
      <c r="I24" s="17"/>
      <c r="Q24"/>
    </row>
    <row r="25" spans="1:17" s="6" customFormat="1" x14ac:dyDescent="0.25">
      <c r="A25" s="4" t="s">
        <v>15</v>
      </c>
      <c r="B25" s="21">
        <f>-246.81+246.81</f>
        <v>0</v>
      </c>
      <c r="C25" s="21"/>
      <c r="D25" s="6">
        <f>B25+C25</f>
        <v>0</v>
      </c>
      <c r="E25" s="21"/>
      <c r="F25" s="21"/>
      <c r="G25" s="21"/>
      <c r="H25" s="6">
        <f>F25+G25</f>
        <v>0</v>
      </c>
      <c r="I25" s="17">
        <f>D25+E25+H25</f>
        <v>0</v>
      </c>
      <c r="Q25"/>
    </row>
    <row r="26" spans="1:17" s="6" customFormat="1" x14ac:dyDescent="0.25">
      <c r="A26" s="4" t="s">
        <v>16</v>
      </c>
      <c r="B26" s="31"/>
      <c r="C26" s="21"/>
      <c r="D26" s="6">
        <f>B26+C26</f>
        <v>0</v>
      </c>
      <c r="E26" s="21"/>
      <c r="F26" s="21"/>
      <c r="G26" s="21"/>
      <c r="H26" s="6">
        <f>F26+G26</f>
        <v>0</v>
      </c>
      <c r="I26" s="17">
        <f>D26+E26+H26</f>
        <v>0</v>
      </c>
      <c r="Q26"/>
    </row>
    <row r="27" spans="1:17" s="6" customFormat="1" x14ac:dyDescent="0.25">
      <c r="A27" s="4" t="s">
        <v>17</v>
      </c>
      <c r="B27" s="21">
        <f>-4117.59-246.81</f>
        <v>-4364.4000000000005</v>
      </c>
      <c r="C27" s="21">
        <v>4366</v>
      </c>
      <c r="D27" s="6">
        <f>B27+C27</f>
        <v>1.5999999999994543</v>
      </c>
      <c r="E27" s="21">
        <v>295566.38</v>
      </c>
      <c r="F27" s="21"/>
      <c r="G27" s="21"/>
      <c r="H27" s="6">
        <f>F27+G27</f>
        <v>0</v>
      </c>
      <c r="I27" s="17">
        <f>D27+E27+H27</f>
        <v>295567.98</v>
      </c>
      <c r="Q27"/>
    </row>
    <row r="28" spans="1:17" s="6" customFormat="1" x14ac:dyDescent="0.25">
      <c r="A28" s="2" t="s">
        <v>18</v>
      </c>
      <c r="B28" s="6">
        <f t="shared" ref="B28:H28" si="5">SUM(B25:B27)</f>
        <v>-4364.4000000000005</v>
      </c>
      <c r="C28" s="6">
        <f t="shared" si="5"/>
        <v>4366</v>
      </c>
      <c r="D28" s="6">
        <f t="shared" si="5"/>
        <v>1.5999999999994543</v>
      </c>
      <c r="E28" s="6">
        <f t="shared" si="5"/>
        <v>295566.38</v>
      </c>
      <c r="F28" s="6">
        <f t="shared" si="5"/>
        <v>0</v>
      </c>
      <c r="G28" s="6">
        <f t="shared" si="5"/>
        <v>0</v>
      </c>
      <c r="H28" s="6">
        <f t="shared" si="5"/>
        <v>0</v>
      </c>
      <c r="I28" s="17">
        <f>D28+E28+H28</f>
        <v>295567.98</v>
      </c>
      <c r="Q28"/>
    </row>
    <row r="29" spans="1:17" s="6" customFormat="1" x14ac:dyDescent="0.25">
      <c r="A29"/>
      <c r="I29" s="17"/>
      <c r="Q29"/>
    </row>
    <row r="30" spans="1:17" s="6" customFormat="1" x14ac:dyDescent="0.25">
      <c r="A30" s="2" t="s">
        <v>19</v>
      </c>
      <c r="B30" s="6">
        <f>B22+B28</f>
        <v>131272.17000000001</v>
      </c>
      <c r="C30" s="6">
        <f>SUM(C22+C28)</f>
        <v>0</v>
      </c>
      <c r="D30" s="6">
        <f>D22+D28</f>
        <v>131272.17000000001</v>
      </c>
      <c r="E30" s="6">
        <f>E28+E22</f>
        <v>295566.38</v>
      </c>
      <c r="F30" s="6">
        <f>F22+F28</f>
        <v>0</v>
      </c>
      <c r="G30" s="6">
        <f>SUM(G22+G28)</f>
        <v>0</v>
      </c>
      <c r="H30" s="6">
        <f>H22+H28</f>
        <v>0</v>
      </c>
      <c r="I30" s="17">
        <f>D30+E30+H30</f>
        <v>426838.55000000005</v>
      </c>
      <c r="Q30"/>
    </row>
    <row r="31" spans="1:17" s="6" customFormat="1" x14ac:dyDescent="0.25">
      <c r="A31"/>
      <c r="B31" s="55" t="str">
        <f>IF(B14=B30,"YES","NO")</f>
        <v>YES</v>
      </c>
      <c r="C31" s="55" t="str">
        <f t="shared" ref="C31:I31" si="6">IF(C14=C30,"YES","NO")</f>
        <v>YES</v>
      </c>
      <c r="D31" s="55" t="str">
        <f t="shared" si="6"/>
        <v>YES</v>
      </c>
      <c r="E31" s="55" t="str">
        <f t="shared" si="6"/>
        <v>YES</v>
      </c>
      <c r="F31" s="55" t="str">
        <f t="shared" si="6"/>
        <v>YES</v>
      </c>
      <c r="G31" s="55" t="str">
        <f t="shared" si="6"/>
        <v>YES</v>
      </c>
      <c r="H31" s="55" t="str">
        <f t="shared" si="6"/>
        <v>YES</v>
      </c>
      <c r="I31" s="55" t="str">
        <f t="shared" si="6"/>
        <v>YES</v>
      </c>
      <c r="Q31"/>
    </row>
    <row r="32" spans="1:17" s="6" customFormat="1" x14ac:dyDescent="0.25">
      <c r="A32" s="3" t="s">
        <v>20</v>
      </c>
      <c r="I32" s="17"/>
      <c r="Q32"/>
    </row>
    <row r="33" spans="1:17" s="6" customFormat="1" x14ac:dyDescent="0.25">
      <c r="A33" s="4" t="s">
        <v>21</v>
      </c>
      <c r="B33" s="21">
        <v>964648.04</v>
      </c>
      <c r="C33" s="21">
        <v>4366</v>
      </c>
      <c r="D33" s="6">
        <f>B33+C33</f>
        <v>969014.04</v>
      </c>
      <c r="E33" s="21"/>
      <c r="F33" s="21"/>
      <c r="G33" s="21"/>
      <c r="H33" s="6">
        <f>F33+G33</f>
        <v>0</v>
      </c>
      <c r="I33" s="17">
        <f t="shared" ref="I33:I38" si="7">D33+E33+H33</f>
        <v>969014.04</v>
      </c>
      <c r="Q33"/>
    </row>
    <row r="34" spans="1:17" s="6" customFormat="1" x14ac:dyDescent="0.25">
      <c r="A34" s="4" t="s">
        <v>22</v>
      </c>
      <c r="B34" s="21"/>
      <c r="C34" s="21"/>
      <c r="D34" s="6">
        <f>B34+C34</f>
        <v>0</v>
      </c>
      <c r="E34" s="21"/>
      <c r="F34" s="21"/>
      <c r="G34" s="21"/>
      <c r="H34" s="6">
        <f>F34+G34</f>
        <v>0</v>
      </c>
      <c r="I34" s="17">
        <f t="shared" si="7"/>
        <v>0</v>
      </c>
      <c r="Q34"/>
    </row>
    <row r="35" spans="1:17" s="6" customFormat="1" x14ac:dyDescent="0.25">
      <c r="A35" s="4" t="s">
        <v>202</v>
      </c>
      <c r="B35" s="21">
        <v>178387.92</v>
      </c>
      <c r="C35" s="21"/>
      <c r="D35" s="6">
        <f>B35+C35</f>
        <v>178387.92</v>
      </c>
      <c r="E35" s="21">
        <v>36899.879999999997</v>
      </c>
      <c r="F35" s="21"/>
      <c r="G35" s="21"/>
      <c r="H35" s="6">
        <f>F35+G35</f>
        <v>0</v>
      </c>
      <c r="I35" s="17">
        <f t="shared" si="7"/>
        <v>215287.80000000002</v>
      </c>
      <c r="Q35"/>
    </row>
    <row r="36" spans="1:17" s="6" customFormat="1" x14ac:dyDescent="0.25">
      <c r="A36" s="4" t="s">
        <v>23</v>
      </c>
      <c r="B36" s="21">
        <v>58.62</v>
      </c>
      <c r="C36" s="21"/>
      <c r="D36" s="6">
        <f>B36+C36</f>
        <v>58.62</v>
      </c>
      <c r="E36" s="21">
        <v>755.44</v>
      </c>
      <c r="F36" s="21"/>
      <c r="G36" s="21"/>
      <c r="H36" s="6">
        <f>F36+G36</f>
        <v>0</v>
      </c>
      <c r="I36" s="17">
        <f t="shared" si="7"/>
        <v>814.06000000000006</v>
      </c>
      <c r="Q36"/>
    </row>
    <row r="37" spans="1:17" s="6" customFormat="1" x14ac:dyDescent="0.25">
      <c r="A37" s="4" t="s">
        <v>24</v>
      </c>
      <c r="B37" s="21">
        <v>2500</v>
      </c>
      <c r="C37" s="21"/>
      <c r="D37" s="6">
        <f>SUM(B37+C37)</f>
        <v>2500</v>
      </c>
      <c r="E37" s="21"/>
      <c r="F37" s="21"/>
      <c r="G37" s="21"/>
      <c r="H37" s="6">
        <f>SUM(F37+G37)</f>
        <v>0</v>
      </c>
      <c r="I37" s="17">
        <f t="shared" si="7"/>
        <v>2500</v>
      </c>
      <c r="Q37"/>
    </row>
    <row r="38" spans="1:17" s="6" customFormat="1" x14ac:dyDescent="0.25">
      <c r="A38" s="2" t="s">
        <v>25</v>
      </c>
      <c r="B38" s="6">
        <f t="shared" ref="B38:H38" si="8">SUM(B33:B37)</f>
        <v>1145594.58</v>
      </c>
      <c r="C38" s="6">
        <f t="shared" si="8"/>
        <v>4366</v>
      </c>
      <c r="D38" s="6">
        <f t="shared" si="8"/>
        <v>1149960.58</v>
      </c>
      <c r="E38" s="6">
        <f t="shared" si="8"/>
        <v>37655.32</v>
      </c>
      <c r="F38" s="6">
        <f t="shared" si="8"/>
        <v>0</v>
      </c>
      <c r="G38" s="6">
        <f t="shared" si="8"/>
        <v>0</v>
      </c>
      <c r="H38" s="6">
        <f t="shared" si="8"/>
        <v>0</v>
      </c>
      <c r="I38" s="17">
        <f t="shared" si="7"/>
        <v>1187615.9000000001</v>
      </c>
      <c r="Q38"/>
    </row>
    <row r="39" spans="1:17" s="6" customFormat="1" x14ac:dyDescent="0.25">
      <c r="A39"/>
      <c r="I39" s="17"/>
      <c r="Q39"/>
    </row>
    <row r="40" spans="1:17" s="6" customFormat="1" x14ac:dyDescent="0.25">
      <c r="A40" s="3" t="s">
        <v>26</v>
      </c>
      <c r="I40" s="17"/>
      <c r="Q40"/>
    </row>
    <row r="41" spans="1:17" s="6" customFormat="1" x14ac:dyDescent="0.25">
      <c r="A41" s="4" t="s">
        <v>27</v>
      </c>
      <c r="B41" s="62"/>
      <c r="C41" s="21"/>
      <c r="D41" s="6">
        <f>B41+C41</f>
        <v>0</v>
      </c>
      <c r="E41" s="62"/>
      <c r="F41" s="21"/>
      <c r="G41" s="21"/>
      <c r="I41" s="17">
        <f t="shared" ref="I41:I47" si="9">D41+E41+H41</f>
        <v>0</v>
      </c>
      <c r="Q41"/>
    </row>
    <row r="42" spans="1:17" s="6" customFormat="1" x14ac:dyDescent="0.25">
      <c r="A42" s="4" t="s">
        <v>28</v>
      </c>
      <c r="B42" s="62"/>
      <c r="C42" s="21"/>
      <c r="D42" s="6">
        <f>B42+C42</f>
        <v>0</v>
      </c>
      <c r="E42" s="62"/>
      <c r="F42" s="21"/>
      <c r="G42" s="21"/>
      <c r="H42" s="6">
        <f>F42+G42</f>
        <v>0</v>
      </c>
      <c r="I42" s="17">
        <f t="shared" si="9"/>
        <v>0</v>
      </c>
      <c r="Q42"/>
    </row>
    <row r="43" spans="1:17" s="6" customFormat="1" x14ac:dyDescent="0.25">
      <c r="A43" s="4" t="s">
        <v>29</v>
      </c>
      <c r="B43" s="62"/>
      <c r="C43" s="21"/>
      <c r="D43" s="6">
        <f>SUM(D40:D42)</f>
        <v>0</v>
      </c>
      <c r="E43" s="62"/>
      <c r="F43" s="21"/>
      <c r="G43" s="21"/>
      <c r="H43" s="6">
        <f>SUM(H40:H42)</f>
        <v>0</v>
      </c>
      <c r="I43" s="17">
        <f t="shared" si="9"/>
        <v>0</v>
      </c>
      <c r="Q43"/>
    </row>
    <row r="44" spans="1:17" s="6" customFormat="1" x14ac:dyDescent="0.25">
      <c r="A44" s="4" t="s">
        <v>30</v>
      </c>
      <c r="B44" s="62"/>
      <c r="C44" s="21"/>
      <c r="E44" s="62"/>
      <c r="F44" s="21"/>
      <c r="G44" s="21"/>
      <c r="I44" s="17">
        <f t="shared" si="9"/>
        <v>0</v>
      </c>
      <c r="Q44"/>
    </row>
    <row r="45" spans="1:17" s="6" customFormat="1" x14ac:dyDescent="0.25">
      <c r="A45" s="4" t="s">
        <v>31</v>
      </c>
      <c r="B45" s="21">
        <v>1137928.92</v>
      </c>
      <c r="C45" s="21"/>
      <c r="D45" s="6">
        <f>B45+C45</f>
        <v>1137928.92</v>
      </c>
      <c r="E45" s="21">
        <v>24705.91</v>
      </c>
      <c r="F45" s="21"/>
      <c r="G45" s="21"/>
      <c r="H45" s="6">
        <f>F45+G45</f>
        <v>0</v>
      </c>
      <c r="I45" s="17">
        <f t="shared" si="9"/>
        <v>1162634.8299999998</v>
      </c>
      <c r="Q45"/>
    </row>
    <row r="46" spans="1:17" s="6" customFormat="1" x14ac:dyDescent="0.25">
      <c r="A46" s="4" t="s">
        <v>62</v>
      </c>
      <c r="B46" s="62"/>
      <c r="C46" s="21"/>
      <c r="E46" s="62"/>
      <c r="F46" s="21"/>
      <c r="G46" s="21"/>
      <c r="I46" s="17">
        <f t="shared" si="9"/>
        <v>0</v>
      </c>
      <c r="Q46"/>
    </row>
    <row r="47" spans="1:17" s="6" customFormat="1" x14ac:dyDescent="0.25">
      <c r="A47" s="2" t="s">
        <v>32</v>
      </c>
      <c r="B47" s="6">
        <f t="shared" ref="B47:H47" si="10">SUM(B41:B46)</f>
        <v>1137928.92</v>
      </c>
      <c r="C47" s="6">
        <f t="shared" si="10"/>
        <v>0</v>
      </c>
      <c r="D47" s="6">
        <f t="shared" si="10"/>
        <v>1137928.92</v>
      </c>
      <c r="E47" s="6">
        <f t="shared" si="10"/>
        <v>24705.91</v>
      </c>
      <c r="F47" s="6">
        <f t="shared" si="10"/>
        <v>0</v>
      </c>
      <c r="G47" s="6">
        <f t="shared" si="10"/>
        <v>0</v>
      </c>
      <c r="H47" s="6">
        <f t="shared" si="10"/>
        <v>0</v>
      </c>
      <c r="I47" s="17">
        <f t="shared" si="9"/>
        <v>1162634.8299999998</v>
      </c>
      <c r="Q47"/>
    </row>
    <row r="48" spans="1:17" s="6" customFormat="1" x14ac:dyDescent="0.25">
      <c r="A48"/>
      <c r="I48" s="17"/>
      <c r="Q48"/>
    </row>
    <row r="49" spans="1:17" s="6" customFormat="1" x14ac:dyDescent="0.25">
      <c r="A49" s="2" t="s">
        <v>33</v>
      </c>
      <c r="B49" s="6">
        <f t="shared" ref="B49:H49" si="11">B38-B47</f>
        <v>7665.660000000149</v>
      </c>
      <c r="C49" s="6">
        <f t="shared" si="11"/>
        <v>4366</v>
      </c>
      <c r="D49" s="6">
        <f t="shared" si="11"/>
        <v>12031.660000000149</v>
      </c>
      <c r="E49" s="6">
        <f t="shared" si="11"/>
        <v>12949.41</v>
      </c>
      <c r="F49" s="6">
        <f t="shared" si="11"/>
        <v>0</v>
      </c>
      <c r="G49" s="6">
        <f t="shared" si="11"/>
        <v>0</v>
      </c>
      <c r="H49" s="6">
        <f t="shared" si="11"/>
        <v>0</v>
      </c>
      <c r="I49" s="17">
        <f>D49+E49+H49</f>
        <v>24981.070000000149</v>
      </c>
      <c r="Q49"/>
    </row>
    <row r="50" spans="1:17" s="6" customFormat="1" x14ac:dyDescent="0.25">
      <c r="A50" s="2"/>
      <c r="I50" s="17"/>
      <c r="Q50"/>
    </row>
    <row r="51" spans="1:17" s="6" customFormat="1" x14ac:dyDescent="0.25">
      <c r="A51" s="38" t="s">
        <v>301</v>
      </c>
      <c r="B51" s="21"/>
      <c r="C51" s="21"/>
      <c r="D51" s="6">
        <f>B51+C51</f>
        <v>0</v>
      </c>
      <c r="E51" s="21"/>
      <c r="F51" s="21"/>
      <c r="G51" s="21"/>
      <c r="H51" s="6">
        <f>F51+G51</f>
        <v>0</v>
      </c>
      <c r="I51" s="17">
        <f>D51+E51+H51</f>
        <v>0</v>
      </c>
      <c r="Q51"/>
    </row>
    <row r="52" spans="1:17" s="6" customFormat="1" x14ac:dyDescent="0.25">
      <c r="A52" t="s">
        <v>34</v>
      </c>
      <c r="B52" s="21">
        <v>53175.1</v>
      </c>
      <c r="C52" s="21"/>
      <c r="D52" s="6">
        <f>B52+C52</f>
        <v>53175.1</v>
      </c>
      <c r="E52" s="21"/>
      <c r="F52" s="21"/>
      <c r="G52" s="21"/>
      <c r="H52" s="6">
        <f>F52+G52</f>
        <v>0</v>
      </c>
      <c r="I52" s="17">
        <f>D52+E52+H52</f>
        <v>53175.1</v>
      </c>
      <c r="Q52"/>
    </row>
    <row r="53" spans="1:17" s="6" customFormat="1" x14ac:dyDescent="0.25">
      <c r="A53" t="s">
        <v>35</v>
      </c>
      <c r="B53" s="21">
        <v>65204.12</v>
      </c>
      <c r="C53" s="21"/>
      <c r="D53" s="6">
        <f>B53+C53</f>
        <v>65204.12</v>
      </c>
      <c r="E53" s="21">
        <v>35867.1</v>
      </c>
      <c r="F53" s="21"/>
      <c r="G53" s="21"/>
      <c r="H53" s="6">
        <f>F53+G53</f>
        <v>0</v>
      </c>
      <c r="I53" s="17">
        <f>D53+E53+H53</f>
        <v>101071.22</v>
      </c>
      <c r="Q53"/>
    </row>
    <row r="54" spans="1:17" s="6" customFormat="1" x14ac:dyDescent="0.25">
      <c r="A54" s="2" t="s">
        <v>36</v>
      </c>
      <c r="B54" s="6">
        <f>B51+B52-B53</f>
        <v>-12029.020000000004</v>
      </c>
      <c r="C54" s="6">
        <f>C51+C52-C53</f>
        <v>0</v>
      </c>
      <c r="D54" s="6">
        <f>B54+C54</f>
        <v>-12029.020000000004</v>
      </c>
      <c r="E54" s="6">
        <f>E51+E52-E53</f>
        <v>-35867.1</v>
      </c>
      <c r="F54" s="6">
        <f>F51+F52-F53</f>
        <v>0</v>
      </c>
      <c r="G54" s="6">
        <f>G51+G52-G53</f>
        <v>0</v>
      </c>
      <c r="H54" s="6">
        <f>F54+G54</f>
        <v>0</v>
      </c>
      <c r="I54" s="17">
        <f>D54+E54+H54</f>
        <v>-47896.12</v>
      </c>
      <c r="Q54"/>
    </row>
    <row r="55" spans="1:17" s="6" customFormat="1" x14ac:dyDescent="0.25">
      <c r="A55"/>
      <c r="I55" s="17"/>
      <c r="Q55"/>
    </row>
    <row r="56" spans="1:17" s="6" customFormat="1" x14ac:dyDescent="0.25">
      <c r="A56" s="2" t="s">
        <v>37</v>
      </c>
      <c r="B56" s="6">
        <f t="shared" ref="B56:H56" si="12">B49+B54</f>
        <v>-4363.3599999998551</v>
      </c>
      <c r="C56" s="6">
        <f t="shared" si="12"/>
        <v>4366</v>
      </c>
      <c r="D56" s="6">
        <f t="shared" si="12"/>
        <v>2.6400000001449371</v>
      </c>
      <c r="E56" s="6">
        <f t="shared" si="12"/>
        <v>-22917.69</v>
      </c>
      <c r="F56" s="6">
        <f t="shared" si="12"/>
        <v>0</v>
      </c>
      <c r="G56" s="6">
        <f t="shared" si="12"/>
        <v>0</v>
      </c>
      <c r="H56" s="6">
        <f t="shared" si="12"/>
        <v>0</v>
      </c>
      <c r="I56" s="17">
        <f>D56+E56+H56</f>
        <v>-22915.049999999854</v>
      </c>
      <c r="Q56"/>
    </row>
    <row r="57" spans="1:17" s="6" customFormat="1" x14ac:dyDescent="0.25">
      <c r="A57" t="s">
        <v>38</v>
      </c>
      <c r="B57" s="6">
        <f t="shared" ref="B57:H57" si="13">B58-B56</f>
        <v>-1.0400000001454828</v>
      </c>
      <c r="C57" s="6">
        <f t="shared" si="13"/>
        <v>0</v>
      </c>
      <c r="D57" s="6">
        <f t="shared" si="13"/>
        <v>-1.0400000001454828</v>
      </c>
      <c r="E57" s="6">
        <f t="shared" si="13"/>
        <v>318484.07</v>
      </c>
      <c r="F57" s="6">
        <f t="shared" si="13"/>
        <v>0</v>
      </c>
      <c r="G57" s="6">
        <f t="shared" si="13"/>
        <v>0</v>
      </c>
      <c r="H57" s="6">
        <f t="shared" si="13"/>
        <v>0</v>
      </c>
      <c r="I57" s="17">
        <f>D57+E57+H57</f>
        <v>318483.02999999985</v>
      </c>
      <c r="Q57"/>
    </row>
    <row r="58" spans="1:17" s="6" customFormat="1" x14ac:dyDescent="0.25">
      <c r="A58" s="2" t="s">
        <v>39</v>
      </c>
      <c r="B58" s="6">
        <f t="shared" ref="B58:H58" si="14">B28</f>
        <v>-4364.4000000000005</v>
      </c>
      <c r="C58" s="6">
        <f t="shared" si="14"/>
        <v>4366</v>
      </c>
      <c r="D58" s="6">
        <f t="shared" si="14"/>
        <v>1.5999999999994543</v>
      </c>
      <c r="E58" s="6">
        <f t="shared" si="14"/>
        <v>295566.38</v>
      </c>
      <c r="F58" s="6">
        <f t="shared" si="14"/>
        <v>0</v>
      </c>
      <c r="G58" s="6">
        <f t="shared" si="14"/>
        <v>0</v>
      </c>
      <c r="H58" s="6">
        <f t="shared" si="14"/>
        <v>0</v>
      </c>
      <c r="I58" s="17">
        <f>D58+E58+H58</f>
        <v>295567.98</v>
      </c>
      <c r="Q58"/>
    </row>
  </sheetData>
  <customSheetViews>
    <customSheetView guid="{E68B3865-8D72-47E7-BE32-0FF7EB09E889}" fitToPage="1">
      <pane xSplit="1" ySplit="5" topLeftCell="B33" activePane="bottomRight" state="frozen"/>
      <selection pane="bottomRight" activeCell="A4" sqref="A4"/>
      <pageMargins left="0.7" right="0.7" top="0.75" bottom="0.75" header="0.3" footer="0.3"/>
      <pageSetup scale="59" orientation="landscape" r:id="rId1"/>
    </customSheetView>
    <customSheetView guid="{2B2709E2-6DF4-4CC4-88D0-056FB306137C}" fitToPage="1">
      <pane xSplit="1" ySplit="5" topLeftCell="B21" activePane="bottomRight" state="frozen"/>
      <selection pane="bottomRight" activeCell="C28" sqref="C28"/>
      <pageMargins left="0.7" right="0.7" top="0.75" bottom="0.75" header="0.3" footer="0.3"/>
      <pageSetup scale="59" orientation="landscape" r:id="rId2"/>
    </customSheetView>
    <customSheetView guid="{EC03C3C8-7E57-47C6-8413-F484E8C46A0C}" showPageBreaks="1" fitToPage="1">
      <pane xSplit="1" ySplit="5" topLeftCell="B41" activePane="bottomRight" state="frozen"/>
      <selection pane="bottomRight" activeCell="B53" sqref="B53"/>
      <pageMargins left="0.7" right="0.7" top="0.75" bottom="0.75" header="0.3" footer="0.3"/>
      <pageSetup scale="58" orientation="landscape" r:id="rId3"/>
    </customSheetView>
    <customSheetView guid="{A6F79E61-D6A3-44FD-B4A4-4724DF74349B}" showPageBreaks="1" fitToPage="1">
      <pane xSplit="1" ySplit="5" topLeftCell="B12" activePane="bottomRight" state="frozen"/>
      <selection pane="bottomRight" activeCell="B13" sqref="B13"/>
      <pageMargins left="0.7" right="0.7" top="0.75" bottom="0.75" header="0.3" footer="0.3"/>
      <pageSetup scale="58" orientation="landscape" r:id="rId4"/>
    </customSheetView>
    <customSheetView guid="{DE6E911D-85BF-467A-AA00-1E84C5349CF7}" showPageBreaks="1" fitToPage="1">
      <pane xSplit="1" ySplit="5" topLeftCell="B6" activePane="bottomRight" state="frozen"/>
      <selection pane="bottomRight" activeCell="B27" sqref="B27"/>
      <pageMargins left="0.7" right="0.7" top="0.75" bottom="0.75" header="0.3" footer="0.3"/>
      <pageSetup scale="57" orientation="landscape" r:id="rId5"/>
    </customSheetView>
  </customSheetViews>
  <pageMargins left="0.7" right="0.7" top="0.75" bottom="0.75" header="0.3" footer="0.3"/>
  <pageSetup scale="59" orientation="landscape" r:id="rId6"/>
  <legacy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workbookViewId="0">
      <selection activeCell="D31" sqref="D31"/>
    </sheetView>
  </sheetViews>
  <sheetFormatPr defaultRowHeight="15" outlineLevelCol="1" x14ac:dyDescent="0.25"/>
  <cols>
    <col min="1" max="1" width="33.5703125" customWidth="1"/>
    <col min="2" max="2" width="12.7109375" bestFit="1" customWidth="1" outlineLevel="1"/>
    <col min="3" max="3" width="10.85546875" bestFit="1" customWidth="1" outlineLevel="1"/>
    <col min="4" max="4" width="12.7109375" bestFit="1" customWidth="1"/>
    <col min="5" max="5" width="10.140625" bestFit="1" customWidth="1"/>
    <col min="6" max="6" width="12.7109375" bestFit="1" customWidth="1"/>
  </cols>
  <sheetData>
    <row r="1" spans="1:7" ht="23.25" x14ac:dyDescent="0.35">
      <c r="A1" s="5" t="s">
        <v>252</v>
      </c>
      <c r="B1" s="6"/>
      <c r="C1" s="6"/>
      <c r="D1" s="6"/>
      <c r="E1" s="6"/>
      <c r="F1" s="6"/>
    </row>
    <row r="2" spans="1:7" x14ac:dyDescent="0.25">
      <c r="A2" t="s">
        <v>1</v>
      </c>
      <c r="B2" s="6"/>
      <c r="C2" s="6"/>
      <c r="D2" s="6"/>
      <c r="E2" s="6"/>
      <c r="F2" s="6"/>
    </row>
    <row r="3" spans="1:7" x14ac:dyDescent="0.25">
      <c r="A3" s="1">
        <v>43435</v>
      </c>
      <c r="B3" s="6"/>
      <c r="C3" s="6"/>
      <c r="D3" s="6"/>
      <c r="E3" s="6"/>
      <c r="F3" s="6"/>
    </row>
    <row r="4" spans="1:7" x14ac:dyDescent="0.25">
      <c r="A4" s="1"/>
      <c r="B4" s="6"/>
      <c r="C4" s="6"/>
      <c r="D4" s="6"/>
      <c r="E4" s="6"/>
      <c r="F4" s="6"/>
    </row>
    <row r="5" spans="1:7" ht="30" x14ac:dyDescent="0.25">
      <c r="A5" s="1"/>
      <c r="B5" s="7" t="s">
        <v>257</v>
      </c>
      <c r="C5" s="7" t="s">
        <v>47</v>
      </c>
      <c r="D5" s="7" t="s">
        <v>302</v>
      </c>
      <c r="E5" s="7" t="s">
        <v>256</v>
      </c>
      <c r="F5" s="18" t="s">
        <v>255</v>
      </c>
    </row>
    <row r="6" spans="1:7" x14ac:dyDescent="0.25">
      <c r="B6" s="6"/>
      <c r="C6" s="6"/>
      <c r="D6" s="6"/>
      <c r="E6" s="6"/>
      <c r="F6" s="17"/>
    </row>
    <row r="7" spans="1:7" x14ac:dyDescent="0.25">
      <c r="A7" s="3" t="s">
        <v>2</v>
      </c>
      <c r="B7" s="6"/>
      <c r="C7" s="6"/>
      <c r="D7" s="6"/>
      <c r="E7" s="6"/>
      <c r="F7" s="17"/>
    </row>
    <row r="8" spans="1:7" x14ac:dyDescent="0.25">
      <c r="A8" s="4" t="s">
        <v>3</v>
      </c>
      <c r="B8" s="21">
        <f>-10710.27</f>
        <v>-10710.27</v>
      </c>
      <c r="C8" s="21">
        <f>21420.54-10710.27</f>
        <v>10710.27</v>
      </c>
      <c r="D8" s="6">
        <f>B8+C8</f>
        <v>0</v>
      </c>
      <c r="E8" s="21">
        <v>18934.330000000002</v>
      </c>
      <c r="F8" s="17">
        <f t="shared" ref="F8:F14" si="0">D8+E8</f>
        <v>18934.330000000002</v>
      </c>
      <c r="G8" s="71"/>
    </row>
    <row r="9" spans="1:7" x14ac:dyDescent="0.25">
      <c r="A9" s="4" t="s">
        <v>189</v>
      </c>
      <c r="B9" s="21"/>
      <c r="C9" s="21"/>
      <c r="D9" s="6">
        <f t="shared" ref="D9:D13" si="1">B9+C9</f>
        <v>0</v>
      </c>
      <c r="E9" s="21"/>
      <c r="F9" s="17">
        <f t="shared" si="0"/>
        <v>0</v>
      </c>
    </row>
    <row r="10" spans="1:7" x14ac:dyDescent="0.25">
      <c r="A10" s="4" t="s">
        <v>4</v>
      </c>
      <c r="B10" s="21">
        <f>12429</f>
        <v>12429</v>
      </c>
      <c r="C10" s="21">
        <f>-12429</f>
        <v>-12429</v>
      </c>
      <c r="D10" s="6">
        <f t="shared" si="1"/>
        <v>0</v>
      </c>
      <c r="E10" s="21"/>
      <c r="F10" s="17">
        <f t="shared" si="0"/>
        <v>0</v>
      </c>
    </row>
    <row r="11" spans="1:7" x14ac:dyDescent="0.25">
      <c r="A11" s="4" t="s">
        <v>6</v>
      </c>
      <c r="B11" s="21"/>
      <c r="C11" s="21"/>
      <c r="D11" s="6">
        <f t="shared" si="1"/>
        <v>0</v>
      </c>
      <c r="E11" s="21"/>
      <c r="F11" s="17">
        <f t="shared" si="0"/>
        <v>0</v>
      </c>
    </row>
    <row r="12" spans="1:7" x14ac:dyDescent="0.25">
      <c r="A12" s="4" t="s">
        <v>5</v>
      </c>
      <c r="B12" s="21"/>
      <c r="C12" s="21"/>
      <c r="D12" s="6">
        <f t="shared" si="1"/>
        <v>0</v>
      </c>
      <c r="E12" s="21"/>
      <c r="F12" s="17">
        <f t="shared" si="0"/>
        <v>0</v>
      </c>
    </row>
    <row r="13" spans="1:7" x14ac:dyDescent="0.25">
      <c r="A13" s="4" t="s">
        <v>61</v>
      </c>
      <c r="B13" s="21"/>
      <c r="C13" s="21"/>
      <c r="D13" s="6">
        <f t="shared" si="1"/>
        <v>0</v>
      </c>
      <c r="E13" s="21"/>
      <c r="F13" s="17">
        <f t="shared" si="0"/>
        <v>0</v>
      </c>
    </row>
    <row r="14" spans="1:7" x14ac:dyDescent="0.25">
      <c r="A14" s="2" t="s">
        <v>7</v>
      </c>
      <c r="B14" s="6">
        <f>SUM(B8:B13)</f>
        <v>1718.7299999999996</v>
      </c>
      <c r="C14" s="6">
        <f>SUM(C8:C13)</f>
        <v>-1718.7299999999996</v>
      </c>
      <c r="D14" s="6">
        <f>B14+C14</f>
        <v>0</v>
      </c>
      <c r="E14" s="6">
        <f>SUM(E8:E13)</f>
        <v>18934.330000000002</v>
      </c>
      <c r="F14" s="17">
        <f t="shared" si="0"/>
        <v>18934.330000000002</v>
      </c>
    </row>
    <row r="15" spans="1:7" x14ac:dyDescent="0.25">
      <c r="B15" s="6"/>
      <c r="C15" s="6"/>
      <c r="D15" s="6"/>
      <c r="E15" s="6"/>
      <c r="F15" s="17"/>
    </row>
    <row r="16" spans="1:7" x14ac:dyDescent="0.25">
      <c r="A16" s="3" t="s">
        <v>8</v>
      </c>
      <c r="B16" s="6"/>
      <c r="C16" s="6"/>
      <c r="D16" s="6"/>
      <c r="E16" s="6"/>
      <c r="F16" s="17"/>
    </row>
    <row r="17" spans="1:6" x14ac:dyDescent="0.25">
      <c r="A17" s="4" t="s">
        <v>9</v>
      </c>
      <c r="B17" s="21"/>
      <c r="C17" s="21"/>
      <c r="D17" s="6">
        <f>B17+C17</f>
        <v>0</v>
      </c>
      <c r="E17" s="21"/>
      <c r="F17" s="17">
        <f t="shared" ref="F17:F22" si="2">D17+E17</f>
        <v>0</v>
      </c>
    </row>
    <row r="18" spans="1:6" x14ac:dyDescent="0.25">
      <c r="A18" s="4" t="s">
        <v>10</v>
      </c>
      <c r="B18" s="21">
        <f>1718.87</f>
        <v>1718.87</v>
      </c>
      <c r="C18" s="21">
        <f>(-1269.69-449.18)</f>
        <v>-1718.8700000000001</v>
      </c>
      <c r="D18" s="6">
        <f>B18+C18</f>
        <v>0</v>
      </c>
      <c r="E18" s="21"/>
      <c r="F18" s="17">
        <f t="shared" si="2"/>
        <v>0</v>
      </c>
    </row>
    <row r="19" spans="1:6" x14ac:dyDescent="0.25">
      <c r="A19" s="4" t="s">
        <v>190</v>
      </c>
      <c r="B19" s="21"/>
      <c r="C19" s="21"/>
      <c r="D19" s="6">
        <f t="shared" ref="D19:D21" si="3">B19+C19</f>
        <v>0</v>
      </c>
      <c r="E19" s="21"/>
      <c r="F19" s="17">
        <f t="shared" si="2"/>
        <v>0</v>
      </c>
    </row>
    <row r="20" spans="1:6" x14ac:dyDescent="0.25">
      <c r="A20" s="4" t="s">
        <v>11</v>
      </c>
      <c r="B20" s="21"/>
      <c r="C20" s="21"/>
      <c r="D20" s="6">
        <f t="shared" si="3"/>
        <v>0</v>
      </c>
      <c r="E20" s="21"/>
      <c r="F20" s="17">
        <f t="shared" si="2"/>
        <v>0</v>
      </c>
    </row>
    <row r="21" spans="1:6" x14ac:dyDescent="0.25">
      <c r="A21" s="4" t="s">
        <v>12</v>
      </c>
      <c r="B21" s="21"/>
      <c r="C21" s="21"/>
      <c r="D21" s="6">
        <f t="shared" si="3"/>
        <v>0</v>
      </c>
      <c r="E21" s="21">
        <v>327.41000000000003</v>
      </c>
      <c r="F21" s="17">
        <f t="shared" si="2"/>
        <v>327.41000000000003</v>
      </c>
    </row>
    <row r="22" spans="1:6" x14ac:dyDescent="0.25">
      <c r="A22" s="2" t="s">
        <v>13</v>
      </c>
      <c r="B22" s="6">
        <f>SUM(B17:B21)</f>
        <v>1718.87</v>
      </c>
      <c r="C22" s="6">
        <f>SUM(C17:C21)</f>
        <v>-1718.8700000000001</v>
      </c>
      <c r="D22" s="6">
        <f>B22+C22</f>
        <v>0</v>
      </c>
      <c r="E22" s="6">
        <f>SUM(E17:E21)</f>
        <v>327.41000000000003</v>
      </c>
      <c r="F22" s="17">
        <f t="shared" si="2"/>
        <v>327.41000000000003</v>
      </c>
    </row>
    <row r="23" spans="1:6" x14ac:dyDescent="0.25">
      <c r="B23" s="6"/>
      <c r="C23" s="6"/>
      <c r="D23" s="6"/>
      <c r="E23" s="6"/>
      <c r="F23" s="17"/>
    </row>
    <row r="24" spans="1:6" x14ac:dyDescent="0.25">
      <c r="A24" s="3" t="s">
        <v>14</v>
      </c>
      <c r="B24" s="6"/>
      <c r="C24" s="6"/>
      <c r="D24" s="6"/>
      <c r="E24" s="6"/>
      <c r="F24" s="17"/>
    </row>
    <row r="25" spans="1:6" x14ac:dyDescent="0.25">
      <c r="A25" s="4" t="s">
        <v>15</v>
      </c>
      <c r="B25" s="21">
        <f>110-110.14</f>
        <v>-0.14000000000000057</v>
      </c>
      <c r="C25" s="21">
        <f>21420.54-21420.4+110-110</f>
        <v>0.13999999999941792</v>
      </c>
      <c r="D25" s="6">
        <f>B25+C25</f>
        <v>-5.8264504332328215E-13</v>
      </c>
      <c r="E25" s="21">
        <v>18606.919999999998</v>
      </c>
      <c r="F25" s="17">
        <f>D25+E25</f>
        <v>18606.919999999998</v>
      </c>
    </row>
    <row r="26" spans="1:6" x14ac:dyDescent="0.25">
      <c r="A26" s="4" t="s">
        <v>16</v>
      </c>
      <c r="B26" s="21"/>
      <c r="C26" s="21"/>
      <c r="D26" s="6">
        <f>B26+C26</f>
        <v>0</v>
      </c>
      <c r="E26" s="21"/>
      <c r="F26" s="17">
        <f>D26+E26</f>
        <v>0</v>
      </c>
    </row>
    <row r="27" spans="1:6" x14ac:dyDescent="0.25">
      <c r="A27" s="4" t="s">
        <v>17</v>
      </c>
      <c r="B27" s="21"/>
      <c r="C27" s="21"/>
      <c r="D27" s="6">
        <f>B27+C27</f>
        <v>0</v>
      </c>
      <c r="E27" s="21"/>
      <c r="F27" s="17">
        <f>D27+E27</f>
        <v>0</v>
      </c>
    </row>
    <row r="28" spans="1:6" x14ac:dyDescent="0.25">
      <c r="A28" s="2" t="s">
        <v>18</v>
      </c>
      <c r="B28" s="6">
        <f>SUM(B25:B27)</f>
        <v>-0.14000000000000057</v>
      </c>
      <c r="C28" s="6">
        <f>SUM(C25:C27)</f>
        <v>0.13999999999941792</v>
      </c>
      <c r="D28" s="6">
        <f>B28+C28</f>
        <v>-5.8264504332328215E-13</v>
      </c>
      <c r="E28" s="6">
        <f>SUM(E25:E27)</f>
        <v>18606.919999999998</v>
      </c>
      <c r="F28" s="17">
        <f>D28+E28</f>
        <v>18606.919999999998</v>
      </c>
    </row>
    <row r="29" spans="1:6" x14ac:dyDescent="0.25">
      <c r="B29" s="6"/>
      <c r="C29" s="6"/>
      <c r="D29" s="6"/>
      <c r="E29" s="6"/>
      <c r="F29" s="17"/>
    </row>
    <row r="30" spans="1:6" x14ac:dyDescent="0.25">
      <c r="A30" s="2" t="s">
        <v>19</v>
      </c>
      <c r="B30" s="6">
        <f>B22+B28</f>
        <v>1718.7299999999998</v>
      </c>
      <c r="C30" s="6">
        <f>C22+C28</f>
        <v>-1718.7300000000007</v>
      </c>
      <c r="D30" s="6">
        <f>B30+C30</f>
        <v>0</v>
      </c>
      <c r="E30" s="6">
        <f>E22+E28</f>
        <v>18934.329999999998</v>
      </c>
      <c r="F30" s="17">
        <f>D30+E30</f>
        <v>18934.329999999998</v>
      </c>
    </row>
    <row r="31" spans="1:6" x14ac:dyDescent="0.25">
      <c r="B31" s="55" t="str">
        <f>IF(B14=B30,"YES","NO")</f>
        <v>YES</v>
      </c>
      <c r="C31" s="55" t="str">
        <f>IF(C14=C30,"YES","NO")</f>
        <v>YES</v>
      </c>
      <c r="D31" s="55" t="str">
        <f>IF(D14=D30,"YES","NO")</f>
        <v>YES</v>
      </c>
      <c r="E31" s="55" t="str">
        <f>IF(E14=E30,"YES","NO")</f>
        <v>YES</v>
      </c>
      <c r="F31" s="55" t="str">
        <f>IF(F14=F30,"YES","NO")</f>
        <v>YES</v>
      </c>
    </row>
    <row r="32" spans="1:6" x14ac:dyDescent="0.25">
      <c r="A32" s="3" t="s">
        <v>20</v>
      </c>
      <c r="B32" s="6"/>
      <c r="C32" s="6"/>
      <c r="D32" s="6"/>
      <c r="E32" s="6"/>
      <c r="F32" s="17"/>
    </row>
    <row r="33" spans="1:6" x14ac:dyDescent="0.25">
      <c r="A33" s="4" t="s">
        <v>21</v>
      </c>
      <c r="B33" s="21"/>
      <c r="C33" s="21"/>
      <c r="D33" s="6">
        <f>B33+C33</f>
        <v>0</v>
      </c>
      <c r="E33" s="21"/>
      <c r="F33" s="17">
        <f t="shared" ref="F33:F38" si="4">D33+E33</f>
        <v>0</v>
      </c>
    </row>
    <row r="34" spans="1:6" x14ac:dyDescent="0.25">
      <c r="A34" s="4" t="s">
        <v>22</v>
      </c>
      <c r="B34" s="21"/>
      <c r="C34" s="21"/>
      <c r="D34" s="6">
        <f>B34+C34</f>
        <v>0</v>
      </c>
      <c r="E34" s="21"/>
      <c r="F34" s="17">
        <f t="shared" si="4"/>
        <v>0</v>
      </c>
    </row>
    <row r="35" spans="1:6" x14ac:dyDescent="0.25">
      <c r="A35" s="4" t="s">
        <v>202</v>
      </c>
      <c r="B35" s="21"/>
      <c r="C35" s="21"/>
      <c r="D35" s="6">
        <f>B35+C35</f>
        <v>0</v>
      </c>
      <c r="E35" s="21"/>
      <c r="F35" s="17">
        <f t="shared" si="4"/>
        <v>0</v>
      </c>
    </row>
    <row r="36" spans="1:6" x14ac:dyDescent="0.25">
      <c r="A36" s="4" t="s">
        <v>23</v>
      </c>
      <c r="B36" s="21"/>
      <c r="C36" s="21"/>
      <c r="D36" s="6">
        <f>B36+C36</f>
        <v>0</v>
      </c>
      <c r="E36" s="21">
        <v>19.55</v>
      </c>
      <c r="F36" s="17">
        <f t="shared" si="4"/>
        <v>19.55</v>
      </c>
    </row>
    <row r="37" spans="1:6" x14ac:dyDescent="0.25">
      <c r="A37" s="4" t="s">
        <v>24</v>
      </c>
      <c r="B37" s="21"/>
      <c r="C37" s="21"/>
      <c r="D37" s="6">
        <f>B37+C37</f>
        <v>0</v>
      </c>
      <c r="E37" s="21"/>
      <c r="F37" s="17">
        <f t="shared" si="4"/>
        <v>0</v>
      </c>
    </row>
    <row r="38" spans="1:6" x14ac:dyDescent="0.25">
      <c r="A38" s="2" t="s">
        <v>25</v>
      </c>
      <c r="B38" s="6">
        <f>SUM(B33:B37)</f>
        <v>0</v>
      </c>
      <c r="C38" s="6">
        <f>SUM(C33:C37)</f>
        <v>0</v>
      </c>
      <c r="D38" s="6">
        <f>SUM(D33:D37)</f>
        <v>0</v>
      </c>
      <c r="E38" s="6">
        <f>SUM(E33:E37)</f>
        <v>19.55</v>
      </c>
      <c r="F38" s="17">
        <f t="shared" si="4"/>
        <v>19.55</v>
      </c>
    </row>
    <row r="39" spans="1:6" x14ac:dyDescent="0.25">
      <c r="B39" s="6"/>
      <c r="C39" s="6"/>
      <c r="D39" s="6"/>
      <c r="E39" s="6"/>
      <c r="F39" s="17"/>
    </row>
    <row r="40" spans="1:6" x14ac:dyDescent="0.25">
      <c r="A40" s="3" t="s">
        <v>26</v>
      </c>
      <c r="B40" s="6"/>
      <c r="C40" s="6"/>
      <c r="D40" s="6"/>
      <c r="E40" s="6"/>
      <c r="F40" s="17"/>
    </row>
    <row r="41" spans="1:6" x14ac:dyDescent="0.25">
      <c r="A41" s="4" t="s">
        <v>27</v>
      </c>
      <c r="B41" s="62"/>
      <c r="C41" s="21"/>
      <c r="D41" s="6"/>
      <c r="E41" s="21"/>
      <c r="F41" s="17">
        <f t="shared" ref="F41:F47" si="5">D41+E41</f>
        <v>0</v>
      </c>
    </row>
    <row r="42" spans="1:6" x14ac:dyDescent="0.25">
      <c r="A42" s="4" t="s">
        <v>28</v>
      </c>
      <c r="B42" s="62"/>
      <c r="C42" s="21"/>
      <c r="D42" s="6">
        <f>B42+C42</f>
        <v>0</v>
      </c>
      <c r="E42" s="21"/>
      <c r="F42" s="17">
        <f t="shared" si="5"/>
        <v>0</v>
      </c>
    </row>
    <row r="43" spans="1:6" x14ac:dyDescent="0.25">
      <c r="A43" s="4" t="s">
        <v>29</v>
      </c>
      <c r="B43" s="62"/>
      <c r="C43" s="21"/>
      <c r="D43" s="6">
        <f>B43+C43</f>
        <v>0</v>
      </c>
      <c r="E43" s="21"/>
      <c r="F43" s="17">
        <f t="shared" si="5"/>
        <v>0</v>
      </c>
    </row>
    <row r="44" spans="1:6" x14ac:dyDescent="0.25">
      <c r="A44" s="4" t="s">
        <v>30</v>
      </c>
      <c r="B44" s="62"/>
      <c r="C44" s="21"/>
      <c r="D44" s="6">
        <f>B44+C44</f>
        <v>0</v>
      </c>
      <c r="E44" s="21"/>
      <c r="F44" s="17">
        <f t="shared" si="5"/>
        <v>0</v>
      </c>
    </row>
    <row r="45" spans="1:6" x14ac:dyDescent="0.25">
      <c r="A45" s="4" t="s">
        <v>31</v>
      </c>
      <c r="B45" s="21">
        <v>0</v>
      </c>
      <c r="C45" s="21">
        <v>10710.13</v>
      </c>
      <c r="D45" s="6">
        <f>B45+C45</f>
        <v>10710.13</v>
      </c>
      <c r="E45" s="21"/>
      <c r="F45" s="17">
        <f t="shared" si="5"/>
        <v>10710.13</v>
      </c>
    </row>
    <row r="46" spans="1:6" x14ac:dyDescent="0.25">
      <c r="A46" s="4" t="s">
        <v>62</v>
      </c>
      <c r="B46" s="62"/>
      <c r="C46" s="21"/>
      <c r="D46" s="6"/>
      <c r="E46" s="21"/>
      <c r="F46" s="17">
        <f t="shared" si="5"/>
        <v>0</v>
      </c>
    </row>
    <row r="47" spans="1:6" x14ac:dyDescent="0.25">
      <c r="A47" s="2" t="s">
        <v>32</v>
      </c>
      <c r="B47" s="6">
        <f>SUM(B41:B46)</f>
        <v>0</v>
      </c>
      <c r="C47" s="6">
        <f>SUM(C41:C46)</f>
        <v>10710.13</v>
      </c>
      <c r="D47" s="6">
        <f>SUM(D41:D46)</f>
        <v>10710.13</v>
      </c>
      <c r="E47" s="6">
        <f>SUM(E41:E46)</f>
        <v>0</v>
      </c>
      <c r="F47" s="17">
        <f t="shared" si="5"/>
        <v>10710.13</v>
      </c>
    </row>
    <row r="48" spans="1:6" x14ac:dyDescent="0.25">
      <c r="B48" s="6"/>
      <c r="C48" s="6"/>
      <c r="D48" s="6"/>
      <c r="E48" s="6"/>
      <c r="F48" s="17"/>
    </row>
    <row r="49" spans="1:6" x14ac:dyDescent="0.25">
      <c r="A49" s="2" t="s">
        <v>33</v>
      </c>
      <c r="B49" s="6">
        <f>B38-B47</f>
        <v>0</v>
      </c>
      <c r="C49" s="6">
        <f>C38-C47</f>
        <v>-10710.13</v>
      </c>
      <c r="D49" s="6">
        <f>D38-D47</f>
        <v>-10710.13</v>
      </c>
      <c r="E49" s="6">
        <f>E38-E47</f>
        <v>19.55</v>
      </c>
      <c r="F49" s="17">
        <f>D49+E49</f>
        <v>-10690.58</v>
      </c>
    </row>
    <row r="50" spans="1:6" x14ac:dyDescent="0.25">
      <c r="B50" s="6"/>
      <c r="C50" s="6"/>
      <c r="D50" s="6"/>
      <c r="E50" s="6"/>
      <c r="F50" s="17"/>
    </row>
    <row r="51" spans="1:6" x14ac:dyDescent="0.25">
      <c r="A51" t="s">
        <v>301</v>
      </c>
      <c r="B51" s="21"/>
      <c r="C51" s="21"/>
      <c r="D51" s="6">
        <f>B51+C51</f>
        <v>0</v>
      </c>
      <c r="E51" s="21"/>
      <c r="F51" s="17">
        <f>D51+E51</f>
        <v>0</v>
      </c>
    </row>
    <row r="52" spans="1:6" x14ac:dyDescent="0.25">
      <c r="A52" t="s">
        <v>34</v>
      </c>
      <c r="B52" s="21"/>
      <c r="C52" s="21"/>
      <c r="D52" s="6">
        <f>B52+C52</f>
        <v>0</v>
      </c>
      <c r="E52" s="21"/>
      <c r="F52" s="17">
        <f>D52+E52</f>
        <v>0</v>
      </c>
    </row>
    <row r="53" spans="1:6" x14ac:dyDescent="0.25">
      <c r="A53" t="s">
        <v>35</v>
      </c>
      <c r="B53" s="21"/>
      <c r="C53" s="21">
        <f>-21420.54+10710.27</f>
        <v>-10710.27</v>
      </c>
      <c r="D53" s="6">
        <f>B53+C53</f>
        <v>-10710.27</v>
      </c>
      <c r="E53" s="21"/>
      <c r="F53" s="17">
        <f>D53+E53</f>
        <v>-10710.27</v>
      </c>
    </row>
    <row r="54" spans="1:6" x14ac:dyDescent="0.25">
      <c r="A54" s="2" t="s">
        <v>36</v>
      </c>
      <c r="B54" s="6">
        <f>B51+B52-B53</f>
        <v>0</v>
      </c>
      <c r="C54" s="6">
        <f>C51+C52-C53</f>
        <v>10710.27</v>
      </c>
      <c r="D54" s="6">
        <f>B54+C54</f>
        <v>10710.27</v>
      </c>
      <c r="E54" s="6">
        <f>E51+E52-E53</f>
        <v>0</v>
      </c>
      <c r="F54" s="17">
        <f>D54+E54</f>
        <v>10710.27</v>
      </c>
    </row>
    <row r="55" spans="1:6" x14ac:dyDescent="0.25">
      <c r="B55" s="6"/>
      <c r="C55" s="6"/>
      <c r="D55" s="6"/>
      <c r="E55" s="6"/>
      <c r="F55" s="17"/>
    </row>
    <row r="56" spans="1:6" x14ac:dyDescent="0.25">
      <c r="A56" s="2" t="s">
        <v>37</v>
      </c>
      <c r="B56" s="30">
        <f>B49+B54</f>
        <v>0</v>
      </c>
      <c r="C56" s="30">
        <f>C49+C54</f>
        <v>0.14000000000123691</v>
      </c>
      <c r="D56" s="6">
        <f>D49+D54</f>
        <v>0.14000000000123691</v>
      </c>
      <c r="E56" s="6">
        <f>E49+E54</f>
        <v>19.55</v>
      </c>
      <c r="F56" s="17">
        <f>D56+E56</f>
        <v>19.690000000001238</v>
      </c>
    </row>
    <row r="57" spans="1:6" x14ac:dyDescent="0.25">
      <c r="A57" t="s">
        <v>38</v>
      </c>
      <c r="B57" s="6">
        <f>B58-B56</f>
        <v>-0.14000000000000057</v>
      </c>
      <c r="C57" s="6">
        <f>C58-C56</f>
        <v>-1.8189894035458565E-12</v>
      </c>
      <c r="D57" s="6">
        <f>D58-D56</f>
        <v>-0.14000000000181956</v>
      </c>
      <c r="E57" s="6">
        <f>E58-E56</f>
        <v>18587.37</v>
      </c>
      <c r="F57" s="17">
        <f>D57+E57</f>
        <v>18587.229999999996</v>
      </c>
    </row>
    <row r="58" spans="1:6" x14ac:dyDescent="0.25">
      <c r="A58" s="2" t="s">
        <v>39</v>
      </c>
      <c r="B58" s="6">
        <f>B28</f>
        <v>-0.14000000000000057</v>
      </c>
      <c r="C58" s="6">
        <f>C28</f>
        <v>0.13999999999941792</v>
      </c>
      <c r="D58" s="6">
        <f>D28</f>
        <v>-5.8264504332328215E-13</v>
      </c>
      <c r="E58" s="6">
        <f>E28</f>
        <v>18606.919999999998</v>
      </c>
      <c r="F58" s="17">
        <f>D58+E58</f>
        <v>18606.919999999998</v>
      </c>
    </row>
  </sheetData>
  <customSheetViews>
    <customSheetView guid="{E68B3865-8D72-47E7-BE32-0FF7EB09E889}" fitToPage="1">
      <selection activeCell="D31" sqref="D31"/>
      <pageMargins left="0.7" right="0.7" top="0.75" bottom="0.75" header="0.3" footer="0.3"/>
      <pageSetup scale="81" orientation="portrait" horizontalDpi="1200" r:id="rId1"/>
    </customSheetView>
    <customSheetView guid="{2B2709E2-6DF4-4CC4-88D0-056FB306137C}" fitToPage="1">
      <selection activeCell="B46" sqref="B46"/>
      <pageMargins left="0.7" right="0.7" top="0.75" bottom="0.75" header="0.3" footer="0.3"/>
      <pageSetup scale="81" orientation="portrait" horizontalDpi="1200" r:id="rId2"/>
    </customSheetView>
    <customSheetView guid="{EC03C3C8-7E57-47C6-8413-F484E8C46A0C}" showPageBreaks="1" fitToPage="1" topLeftCell="A43">
      <selection activeCell="F50" sqref="F50"/>
      <pageMargins left="0.7" right="0.7" top="0.75" bottom="0.75" header="0.3" footer="0.3"/>
      <pageSetup scale="80" orientation="portrait" horizontalDpi="1200" r:id="rId3"/>
    </customSheetView>
    <customSheetView guid="{A6F79E61-D6A3-44FD-B4A4-4724DF74349B}" showPageBreaks="1" fitToPage="1" topLeftCell="A10">
      <selection activeCell="C10" sqref="C10"/>
      <pageMargins left="0.7" right="0.7" top="0.75" bottom="0.75" header="0.3" footer="0.3"/>
      <pageSetup scale="80" orientation="portrait" horizontalDpi="1200" r:id="rId4"/>
    </customSheetView>
    <customSheetView guid="{DE6E911D-85BF-467A-AA00-1E84C5349CF7}" showPageBreaks="1" fitToPage="1">
      <selection activeCell="B27" sqref="B27"/>
      <pageMargins left="0.7" right="0.7" top="0.75" bottom="0.75" header="0.3" footer="0.3"/>
      <pageSetup scale="78" orientation="portrait" horizontalDpi="1200" r:id="rId5"/>
    </customSheetView>
  </customSheetViews>
  <pageMargins left="0.7" right="0.7" top="0.75" bottom="0.75" header="0.3" footer="0.3"/>
  <pageSetup scale="81" orientation="portrait" horizontalDpi="1200" r:id="rId6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workbookViewId="0">
      <pane xSplit="1" ySplit="7" topLeftCell="B41" activePane="bottomRight" state="frozen"/>
      <selection pane="topRight" activeCell="B1" sqref="B1"/>
      <selection pane="bottomLeft" activeCell="A8" sqref="A8"/>
      <selection pane="bottomRight" activeCell="I44" sqref="I44"/>
    </sheetView>
  </sheetViews>
  <sheetFormatPr defaultRowHeight="15" outlineLevelCol="1" x14ac:dyDescent="0.25"/>
  <cols>
    <col min="1" max="1" width="31" customWidth="1"/>
    <col min="2" max="2" width="15" style="48" bestFit="1" customWidth="1" outlineLevel="1"/>
    <col min="3" max="3" width="12.7109375" style="6" customWidth="1" outlineLevel="1"/>
    <col min="4" max="4" width="13.5703125" style="6" bestFit="1" customWidth="1"/>
    <col min="5" max="5" width="13.42578125" style="48" bestFit="1" customWidth="1" outlineLevel="1"/>
    <col min="6" max="6" width="12.7109375" style="6" customWidth="1" outlineLevel="1"/>
    <col min="7" max="7" width="13.5703125" style="6" bestFit="1" customWidth="1"/>
    <col min="8" max="8" width="11.85546875" customWidth="1" outlineLevel="1"/>
    <col min="9" max="9" width="10.85546875" customWidth="1" outlineLevel="1"/>
    <col min="10" max="10" width="13.5703125" customWidth="1"/>
    <col min="11" max="11" width="13.5703125" style="6" bestFit="1" customWidth="1"/>
    <col min="12" max="12" width="11.85546875" style="6" customWidth="1"/>
    <col min="14" max="14" width="14" style="6" customWidth="1"/>
    <col min="15" max="16" width="11.140625" style="6" bestFit="1" customWidth="1"/>
    <col min="17" max="17" width="9.140625" style="6"/>
    <col min="18" max="18" width="13.5703125" style="6" bestFit="1" customWidth="1"/>
    <col min="19" max="19" width="12.7109375" bestFit="1" customWidth="1"/>
  </cols>
  <sheetData>
    <row r="1" spans="1:18" ht="23.25" x14ac:dyDescent="0.35">
      <c r="A1" s="5" t="s">
        <v>288</v>
      </c>
      <c r="H1" s="6"/>
      <c r="I1" s="6"/>
      <c r="J1" s="6"/>
    </row>
    <row r="2" spans="1:18" x14ac:dyDescent="0.25">
      <c r="A2" t="s">
        <v>1</v>
      </c>
      <c r="H2" s="6"/>
      <c r="I2" s="6"/>
      <c r="J2" s="6"/>
    </row>
    <row r="3" spans="1:18" x14ac:dyDescent="0.25">
      <c r="A3" s="1">
        <v>43435</v>
      </c>
      <c r="H3" s="6"/>
      <c r="I3" s="6"/>
      <c r="J3" s="6"/>
    </row>
    <row r="4" spans="1:18" x14ac:dyDescent="0.25">
      <c r="A4" s="1"/>
      <c r="H4" s="6"/>
      <c r="I4" s="6"/>
      <c r="J4" s="6"/>
    </row>
    <row r="5" spans="1:18" ht="45" x14ac:dyDescent="0.25">
      <c r="A5" s="1"/>
      <c r="B5" s="49" t="s">
        <v>287</v>
      </c>
      <c r="C5" s="7" t="s">
        <v>47</v>
      </c>
      <c r="D5" s="7" t="s">
        <v>286</v>
      </c>
      <c r="E5" s="49" t="s">
        <v>285</v>
      </c>
      <c r="F5" s="7" t="s">
        <v>47</v>
      </c>
      <c r="G5" s="7" t="s">
        <v>284</v>
      </c>
      <c r="H5" s="7" t="s">
        <v>267</v>
      </c>
      <c r="I5" s="7" t="s">
        <v>47</v>
      </c>
      <c r="J5" s="7" t="s">
        <v>266</v>
      </c>
      <c r="K5" s="18" t="s">
        <v>283</v>
      </c>
      <c r="L5" s="7"/>
      <c r="N5" s="7"/>
      <c r="O5" s="7"/>
      <c r="P5" s="7"/>
      <c r="Q5" s="7"/>
      <c r="R5" s="7"/>
    </row>
    <row r="6" spans="1:18" x14ac:dyDescent="0.25">
      <c r="H6" s="6"/>
      <c r="I6" s="6"/>
      <c r="J6" s="6"/>
      <c r="K6" s="17"/>
    </row>
    <row r="7" spans="1:18" x14ac:dyDescent="0.25">
      <c r="A7" s="3" t="s">
        <v>2</v>
      </c>
      <c r="H7" s="6"/>
      <c r="I7" s="6"/>
      <c r="J7" s="6"/>
      <c r="K7" s="17"/>
    </row>
    <row r="8" spans="1:18" x14ac:dyDescent="0.25">
      <c r="A8" s="4" t="s">
        <v>3</v>
      </c>
      <c r="B8" s="41">
        <v>-280620.96999999997</v>
      </c>
      <c r="C8" s="21">
        <f>-4578.66</f>
        <v>-4578.66</v>
      </c>
      <c r="D8" s="6">
        <f>(B8+C8)</f>
        <v>-285199.62999999995</v>
      </c>
      <c r="E8" s="41">
        <v>9823.09</v>
      </c>
      <c r="F8" s="21"/>
      <c r="G8" s="55">
        <f t="shared" ref="G8:G13" si="0">E8+F8</f>
        <v>9823.09</v>
      </c>
      <c r="H8" s="21">
        <v>-4578.66</v>
      </c>
      <c r="I8" s="21">
        <v>4578.66</v>
      </c>
      <c r="J8" s="82">
        <f t="shared" ref="J8:J12" si="1">H8+I8</f>
        <v>0</v>
      </c>
      <c r="K8" s="17">
        <f>D8+G8+J8</f>
        <v>-275376.53999999992</v>
      </c>
    </row>
    <row r="9" spans="1:18" x14ac:dyDescent="0.25">
      <c r="A9" s="4" t="s">
        <v>189</v>
      </c>
      <c r="B9" s="41"/>
      <c r="C9" s="21"/>
      <c r="D9" s="6">
        <f t="shared" ref="D9:D30" si="2">(B9+C9)</f>
        <v>0</v>
      </c>
      <c r="E9" s="41"/>
      <c r="F9" s="21"/>
      <c r="G9" s="6">
        <f t="shared" si="0"/>
        <v>0</v>
      </c>
      <c r="H9" s="21"/>
      <c r="I9" s="21"/>
      <c r="J9" s="6">
        <f t="shared" si="1"/>
        <v>0</v>
      </c>
      <c r="K9" s="17">
        <f t="shared" ref="K9:K58" si="3">D9+G9+J9</f>
        <v>0</v>
      </c>
    </row>
    <row r="10" spans="1:18" x14ac:dyDescent="0.25">
      <c r="A10" s="4" t="s">
        <v>4</v>
      </c>
      <c r="B10" s="56">
        <f>105957.41-105957.41</f>
        <v>0</v>
      </c>
      <c r="C10" s="21"/>
      <c r="D10" s="6">
        <f t="shared" si="2"/>
        <v>0</v>
      </c>
      <c r="E10" s="56">
        <f>34411.02</f>
        <v>34411.019999999997</v>
      </c>
      <c r="F10" s="21"/>
      <c r="G10" s="6">
        <f t="shared" si="0"/>
        <v>34411.019999999997</v>
      </c>
      <c r="H10" s="21"/>
      <c r="I10" s="21"/>
      <c r="J10" s="6">
        <f t="shared" si="1"/>
        <v>0</v>
      </c>
      <c r="K10" s="17">
        <f t="shared" si="3"/>
        <v>34411.019999999997</v>
      </c>
    </row>
    <row r="11" spans="1:18" x14ac:dyDescent="0.25">
      <c r="A11" s="4" t="s">
        <v>6</v>
      </c>
      <c r="B11" s="41">
        <v>12484.16</v>
      </c>
      <c r="C11" s="21"/>
      <c r="D11" s="6">
        <f t="shared" si="2"/>
        <v>12484.16</v>
      </c>
      <c r="E11" s="41">
        <v>2003.17</v>
      </c>
      <c r="F11" s="21"/>
      <c r="G11" s="6">
        <f t="shared" si="0"/>
        <v>2003.17</v>
      </c>
      <c r="H11" s="21"/>
      <c r="I11" s="21"/>
      <c r="J11" s="6">
        <f t="shared" si="1"/>
        <v>0</v>
      </c>
      <c r="K11" s="17">
        <f t="shared" si="3"/>
        <v>14487.33</v>
      </c>
    </row>
    <row r="12" spans="1:18" x14ac:dyDescent="0.25">
      <c r="A12" s="4" t="s">
        <v>5</v>
      </c>
      <c r="B12" s="41">
        <f>254058+105957.41</f>
        <v>360015.41000000003</v>
      </c>
      <c r="C12" s="21">
        <v>77350</v>
      </c>
      <c r="D12" s="6">
        <f t="shared" si="2"/>
        <v>437365.41000000003</v>
      </c>
      <c r="E12" s="41"/>
      <c r="F12" s="21"/>
      <c r="G12" s="6">
        <f t="shared" si="0"/>
        <v>0</v>
      </c>
      <c r="H12" s="21">
        <f>4578.18+0.48</f>
        <v>4578.66</v>
      </c>
      <c r="I12" s="21">
        <f>-4578.18-0.48</f>
        <v>-4578.66</v>
      </c>
      <c r="J12" s="6">
        <f t="shared" si="1"/>
        <v>0</v>
      </c>
      <c r="K12" s="17">
        <f t="shared" si="3"/>
        <v>437365.41000000003</v>
      </c>
    </row>
    <row r="13" spans="1:18" x14ac:dyDescent="0.25">
      <c r="A13" s="4" t="s">
        <v>61</v>
      </c>
      <c r="B13" s="41">
        <f>12484.16-12484.16</f>
        <v>0</v>
      </c>
      <c r="C13" s="21"/>
      <c r="D13" s="6">
        <f t="shared" si="2"/>
        <v>0</v>
      </c>
      <c r="E13" s="41">
        <f>2003.17-2003.17</f>
        <v>0</v>
      </c>
      <c r="F13" s="21"/>
      <c r="G13" s="6">
        <f t="shared" si="0"/>
        <v>0</v>
      </c>
      <c r="H13" s="21"/>
      <c r="I13" s="21">
        <f>-114.78-959.06-1995.97-1508.37-0.48+4578.66</f>
        <v>0</v>
      </c>
      <c r="J13" s="6">
        <f>H13+I13</f>
        <v>0</v>
      </c>
      <c r="K13" s="17">
        <f t="shared" si="3"/>
        <v>0</v>
      </c>
    </row>
    <row r="14" spans="1:18" x14ac:dyDescent="0.25">
      <c r="A14" s="2" t="s">
        <v>7</v>
      </c>
      <c r="B14" s="48">
        <f t="shared" ref="B14:G14" si="4">SUM(B8:B13)</f>
        <v>91878.600000000035</v>
      </c>
      <c r="C14" s="6">
        <f t="shared" si="4"/>
        <v>72771.34</v>
      </c>
      <c r="D14" s="6">
        <f t="shared" si="2"/>
        <v>164649.94000000003</v>
      </c>
      <c r="E14" s="48">
        <f t="shared" si="4"/>
        <v>46237.279999999999</v>
      </c>
      <c r="F14" s="6">
        <f t="shared" si="4"/>
        <v>0</v>
      </c>
      <c r="G14" s="6">
        <f t="shared" si="4"/>
        <v>46237.279999999999</v>
      </c>
      <c r="H14" s="6">
        <f t="shared" ref="H14:J14" si="5">SUM(H8:H13)</f>
        <v>0</v>
      </c>
      <c r="I14" s="6">
        <f>SUM(I8:I13)</f>
        <v>0</v>
      </c>
      <c r="J14" s="6">
        <f t="shared" si="5"/>
        <v>0</v>
      </c>
      <c r="K14" s="17">
        <f t="shared" si="3"/>
        <v>210887.22000000003</v>
      </c>
    </row>
    <row r="15" spans="1:18" x14ac:dyDescent="0.25">
      <c r="H15" s="6"/>
      <c r="I15" s="6"/>
      <c r="J15" s="6"/>
      <c r="K15" s="17"/>
    </row>
    <row r="16" spans="1:18" x14ac:dyDescent="0.25">
      <c r="A16" s="3" t="s">
        <v>8</v>
      </c>
      <c r="H16" s="6"/>
      <c r="I16" s="6"/>
      <c r="J16" s="6"/>
      <c r="K16" s="17"/>
    </row>
    <row r="17" spans="1:19" x14ac:dyDescent="0.25">
      <c r="A17" s="4" t="s">
        <v>9</v>
      </c>
      <c r="B17" s="41">
        <v>124630.27</v>
      </c>
      <c r="C17" s="21"/>
      <c r="D17" s="6">
        <f t="shared" si="2"/>
        <v>124630.27</v>
      </c>
      <c r="E17" s="41">
        <v>124.48</v>
      </c>
      <c r="F17" s="21"/>
      <c r="G17" s="6">
        <f>E17+F17</f>
        <v>124.48</v>
      </c>
      <c r="H17" s="21"/>
      <c r="I17" s="21"/>
      <c r="J17" s="6">
        <f>H17+I17</f>
        <v>0</v>
      </c>
      <c r="K17" s="17">
        <f t="shared" si="3"/>
        <v>124754.75</v>
      </c>
    </row>
    <row r="18" spans="1:19" s="6" customFormat="1" x14ac:dyDescent="0.25">
      <c r="A18" s="4" t="s">
        <v>10</v>
      </c>
      <c r="B18" s="41">
        <v>39661.410000000003</v>
      </c>
      <c r="C18" s="21"/>
      <c r="D18" s="6">
        <f t="shared" si="2"/>
        <v>39661.410000000003</v>
      </c>
      <c r="E18" s="41">
        <v>6409.24</v>
      </c>
      <c r="F18" s="21"/>
      <c r="G18" s="6">
        <f>E18+F18</f>
        <v>6409.24</v>
      </c>
      <c r="H18" s="21"/>
      <c r="I18" s="21"/>
      <c r="J18" s="6">
        <f>H18+I18</f>
        <v>0</v>
      </c>
      <c r="K18" s="17">
        <f t="shared" si="3"/>
        <v>46070.65</v>
      </c>
      <c r="S18"/>
    </row>
    <row r="19" spans="1:19" s="6" customFormat="1" x14ac:dyDescent="0.25">
      <c r="A19" s="4" t="s">
        <v>190</v>
      </c>
      <c r="B19" s="41"/>
      <c r="C19" s="21"/>
      <c r="D19" s="6">
        <f t="shared" si="2"/>
        <v>0</v>
      </c>
      <c r="E19" s="41"/>
      <c r="F19" s="21"/>
      <c r="G19" s="6">
        <f>E19+F19</f>
        <v>0</v>
      </c>
      <c r="H19" s="21"/>
      <c r="I19" s="21"/>
      <c r="J19" s="6">
        <f>H19+I19</f>
        <v>0</v>
      </c>
      <c r="K19" s="17">
        <f t="shared" si="3"/>
        <v>0</v>
      </c>
      <c r="S19"/>
    </row>
    <row r="20" spans="1:19" s="6" customFormat="1" x14ac:dyDescent="0.25">
      <c r="A20" s="4" t="s">
        <v>11</v>
      </c>
      <c r="B20" s="41"/>
      <c r="C20" s="21"/>
      <c r="D20" s="6">
        <f t="shared" si="2"/>
        <v>0</v>
      </c>
      <c r="E20" s="41"/>
      <c r="F20" s="21"/>
      <c r="G20" s="6">
        <f>E20+F20</f>
        <v>0</v>
      </c>
      <c r="H20" s="21"/>
      <c r="I20" s="21"/>
      <c r="J20" s="6">
        <f>H20+I20</f>
        <v>0</v>
      </c>
      <c r="K20" s="17">
        <f t="shared" si="3"/>
        <v>0</v>
      </c>
      <c r="S20"/>
    </row>
    <row r="21" spans="1:19" s="6" customFormat="1" x14ac:dyDescent="0.25">
      <c r="A21" s="4" t="s">
        <v>12</v>
      </c>
      <c r="B21" s="41">
        <v>355.75</v>
      </c>
      <c r="C21" s="21">
        <f>-4581+4581</f>
        <v>0</v>
      </c>
      <c r="D21" s="6">
        <f t="shared" si="2"/>
        <v>355.75</v>
      </c>
      <c r="E21" s="41"/>
      <c r="F21" s="21">
        <v>39704</v>
      </c>
      <c r="G21" s="6">
        <f>E21+F21</f>
        <v>39704</v>
      </c>
      <c r="H21" s="21"/>
      <c r="I21" s="21"/>
      <c r="J21" s="6">
        <f>H21+I21</f>
        <v>0</v>
      </c>
      <c r="K21" s="17">
        <f t="shared" si="3"/>
        <v>40059.75</v>
      </c>
      <c r="S21"/>
    </row>
    <row r="22" spans="1:19" s="6" customFormat="1" x14ac:dyDescent="0.25">
      <c r="A22" s="2" t="s">
        <v>13</v>
      </c>
      <c r="B22" s="48">
        <f t="shared" ref="B22:J22" si="6">SUM(B17:B21)</f>
        <v>164647.43</v>
      </c>
      <c r="C22" s="6">
        <f t="shared" si="6"/>
        <v>0</v>
      </c>
      <c r="D22" s="6">
        <f t="shared" si="2"/>
        <v>164647.43</v>
      </c>
      <c r="E22" s="48">
        <f t="shared" si="6"/>
        <v>6533.7199999999993</v>
      </c>
      <c r="F22" s="6">
        <f t="shared" si="6"/>
        <v>39704</v>
      </c>
      <c r="G22" s="6">
        <f t="shared" si="6"/>
        <v>46237.72</v>
      </c>
      <c r="H22" s="6">
        <f t="shared" si="6"/>
        <v>0</v>
      </c>
      <c r="I22" s="6">
        <f t="shared" si="6"/>
        <v>0</v>
      </c>
      <c r="J22" s="6">
        <f t="shared" si="6"/>
        <v>0</v>
      </c>
      <c r="K22" s="17">
        <f t="shared" si="3"/>
        <v>210885.15</v>
      </c>
      <c r="S22"/>
    </row>
    <row r="23" spans="1:19" s="6" customFormat="1" x14ac:dyDescent="0.25">
      <c r="A23"/>
      <c r="B23" s="48"/>
      <c r="E23" s="48"/>
      <c r="K23" s="17"/>
      <c r="S23"/>
    </row>
    <row r="24" spans="1:19" s="6" customFormat="1" x14ac:dyDescent="0.25">
      <c r="A24" s="3" t="s">
        <v>14</v>
      </c>
      <c r="B24" s="48"/>
      <c r="E24" s="48"/>
      <c r="K24" s="17"/>
      <c r="S24"/>
    </row>
    <row r="25" spans="1:19" s="6" customFormat="1" x14ac:dyDescent="0.25">
      <c r="A25" s="4" t="s">
        <v>15</v>
      </c>
      <c r="B25" s="41"/>
      <c r="C25" s="21"/>
      <c r="D25" s="6">
        <f t="shared" si="2"/>
        <v>0</v>
      </c>
      <c r="E25" s="41"/>
      <c r="F25" s="21"/>
      <c r="G25" s="6">
        <f>E25+F25</f>
        <v>0</v>
      </c>
      <c r="H25" s="21"/>
      <c r="I25" s="21"/>
      <c r="J25" s="6">
        <f>H25+I25</f>
        <v>0</v>
      </c>
      <c r="K25" s="17">
        <f t="shared" si="3"/>
        <v>0</v>
      </c>
      <c r="S25"/>
    </row>
    <row r="26" spans="1:19" s="6" customFormat="1" x14ac:dyDescent="0.25">
      <c r="A26" s="4" t="s">
        <v>16</v>
      </c>
      <c r="B26" s="50"/>
      <c r="C26" s="21"/>
      <c r="D26" s="6">
        <f t="shared" si="2"/>
        <v>0</v>
      </c>
      <c r="E26" s="41"/>
      <c r="F26" s="21"/>
      <c r="G26" s="6">
        <f>E26+F26</f>
        <v>0</v>
      </c>
      <c r="H26" s="21"/>
      <c r="I26" s="21"/>
      <c r="J26" s="6">
        <f>H26+I26</f>
        <v>0</v>
      </c>
      <c r="K26" s="17">
        <f t="shared" si="3"/>
        <v>0</v>
      </c>
      <c r="S26"/>
    </row>
    <row r="27" spans="1:19" s="6" customFormat="1" x14ac:dyDescent="0.25">
      <c r="A27" s="4" t="s">
        <v>17</v>
      </c>
      <c r="B27" s="41">
        <f>-72768.39-0.44</f>
        <v>-72768.83</v>
      </c>
      <c r="C27" s="21">
        <f>-4578.66+4581+77350-4581</f>
        <v>72771.34</v>
      </c>
      <c r="D27" s="6">
        <f t="shared" si="2"/>
        <v>2.5099999999947613</v>
      </c>
      <c r="E27" s="41">
        <v>39703.56</v>
      </c>
      <c r="F27" s="21">
        <v>-39704</v>
      </c>
      <c r="G27" s="6">
        <f>E27+F27</f>
        <v>-0.44000000000232831</v>
      </c>
      <c r="H27" s="21"/>
      <c r="I27" s="21"/>
      <c r="J27" s="6">
        <f>H27+I27</f>
        <v>0</v>
      </c>
      <c r="K27" s="17">
        <f t="shared" si="3"/>
        <v>2.069999999992433</v>
      </c>
      <c r="S27"/>
    </row>
    <row r="28" spans="1:19" s="6" customFormat="1" x14ac:dyDescent="0.25">
      <c r="A28" s="2" t="s">
        <v>18</v>
      </c>
      <c r="B28" s="48">
        <f t="shared" ref="B28:G28" si="7">SUM(B25:B27)</f>
        <v>-72768.83</v>
      </c>
      <c r="C28" s="6">
        <f t="shared" si="7"/>
        <v>72771.34</v>
      </c>
      <c r="D28" s="6">
        <f t="shared" si="2"/>
        <v>2.5099999999947613</v>
      </c>
      <c r="E28" s="48">
        <f t="shared" si="7"/>
        <v>39703.56</v>
      </c>
      <c r="F28" s="6">
        <f t="shared" si="7"/>
        <v>-39704</v>
      </c>
      <c r="G28" s="6">
        <f t="shared" si="7"/>
        <v>-0.44000000000232831</v>
      </c>
      <c r="H28" s="6">
        <f t="shared" ref="H28:J28" si="8">SUM(H25:H27)</f>
        <v>0</v>
      </c>
      <c r="I28" s="6">
        <f t="shared" si="8"/>
        <v>0</v>
      </c>
      <c r="J28" s="6">
        <f t="shared" si="8"/>
        <v>0</v>
      </c>
      <c r="K28" s="17">
        <f t="shared" si="3"/>
        <v>2.069999999992433</v>
      </c>
      <c r="S28"/>
    </row>
    <row r="29" spans="1:19" s="6" customFormat="1" x14ac:dyDescent="0.25">
      <c r="A29"/>
      <c r="B29" s="48"/>
      <c r="E29" s="48"/>
      <c r="K29" s="17"/>
      <c r="S29"/>
    </row>
    <row r="30" spans="1:19" s="6" customFormat="1" x14ac:dyDescent="0.25">
      <c r="A30" s="2" t="s">
        <v>19</v>
      </c>
      <c r="B30" s="48">
        <f t="shared" ref="B30:J30" si="9">B22+B28</f>
        <v>91878.599999999991</v>
      </c>
      <c r="C30" s="6">
        <f t="shared" si="9"/>
        <v>72771.34</v>
      </c>
      <c r="D30" s="6">
        <f t="shared" si="2"/>
        <v>164649.94</v>
      </c>
      <c r="E30" s="48">
        <f t="shared" si="9"/>
        <v>46237.279999999999</v>
      </c>
      <c r="F30" s="6">
        <f t="shared" si="9"/>
        <v>0</v>
      </c>
      <c r="G30" s="6">
        <f t="shared" si="9"/>
        <v>46237.279999999999</v>
      </c>
      <c r="H30" s="6">
        <f t="shared" si="9"/>
        <v>0</v>
      </c>
      <c r="I30" s="6">
        <f t="shared" si="9"/>
        <v>0</v>
      </c>
      <c r="J30" s="6">
        <f t="shared" si="9"/>
        <v>0</v>
      </c>
      <c r="K30" s="17">
        <f t="shared" si="3"/>
        <v>210887.22</v>
      </c>
      <c r="S30"/>
    </row>
    <row r="31" spans="1:19" s="6" customFormat="1" x14ac:dyDescent="0.25">
      <c r="A31"/>
      <c r="B31" s="59" t="str">
        <f>IF(B14=B30,"YES","NO")</f>
        <v>YES</v>
      </c>
      <c r="C31" s="59" t="str">
        <f t="shared" ref="C31:K31" si="10">IF(C14=C30,"YES","NO")</f>
        <v>YES</v>
      </c>
      <c r="D31" s="59" t="str">
        <f>IF(D14=D30,"YES","NO")</f>
        <v>YES</v>
      </c>
      <c r="E31" s="59" t="str">
        <f t="shared" si="10"/>
        <v>YES</v>
      </c>
      <c r="F31" s="59" t="str">
        <f t="shared" si="10"/>
        <v>YES</v>
      </c>
      <c r="G31" s="59" t="str">
        <f t="shared" si="10"/>
        <v>YES</v>
      </c>
      <c r="H31" s="55" t="str">
        <f>IF(H14=H30,"YES","NO")</f>
        <v>YES</v>
      </c>
      <c r="I31" s="55" t="str">
        <f t="shared" si="10"/>
        <v>YES</v>
      </c>
      <c r="J31" s="55" t="str">
        <f t="shared" si="10"/>
        <v>YES</v>
      </c>
      <c r="K31" s="55" t="str">
        <f t="shared" si="10"/>
        <v>YES</v>
      </c>
      <c r="S31"/>
    </row>
    <row r="32" spans="1:19" s="6" customFormat="1" x14ac:dyDescent="0.25">
      <c r="A32" s="3" t="s">
        <v>20</v>
      </c>
      <c r="B32" s="48"/>
      <c r="E32" s="48">
        <f>E14-E30</f>
        <v>0</v>
      </c>
      <c r="K32" s="17">
        <f t="shared" si="3"/>
        <v>0</v>
      </c>
      <c r="S32"/>
    </row>
    <row r="33" spans="1:19" s="6" customFormat="1" x14ac:dyDescent="0.25">
      <c r="A33" s="4" t="s">
        <v>21</v>
      </c>
      <c r="B33" s="41">
        <f>2295648.25+650908.98+20625.73</f>
        <v>2967182.96</v>
      </c>
      <c r="C33" s="21">
        <f>4581+77350-4581</f>
        <v>77350</v>
      </c>
      <c r="D33" s="6">
        <f>B33+C33</f>
        <v>3044532.96</v>
      </c>
      <c r="E33" s="41">
        <f>36375+156209.1</f>
        <v>192584.1</v>
      </c>
      <c r="F33" s="21">
        <v>-39704</v>
      </c>
      <c r="G33" s="6">
        <f>E33+F33</f>
        <v>152880.1</v>
      </c>
      <c r="H33" s="21"/>
      <c r="I33" s="21"/>
      <c r="J33" s="6">
        <f>H33+I33</f>
        <v>0</v>
      </c>
      <c r="K33" s="17">
        <f t="shared" si="3"/>
        <v>3197413.06</v>
      </c>
      <c r="S33"/>
    </row>
    <row r="34" spans="1:19" s="6" customFormat="1" x14ac:dyDescent="0.25">
      <c r="A34" s="4" t="s">
        <v>22</v>
      </c>
      <c r="B34" s="41">
        <f>20625.73-20625.73</f>
        <v>0</v>
      </c>
      <c r="C34" s="21"/>
      <c r="D34" s="6">
        <f>B34+C34</f>
        <v>0</v>
      </c>
      <c r="E34" s="41"/>
      <c r="F34" s="21"/>
      <c r="G34" s="6">
        <f>E34+F34</f>
        <v>0</v>
      </c>
      <c r="H34" s="21"/>
      <c r="I34" s="21"/>
      <c r="J34" s="6">
        <f>H34+I34</f>
        <v>0</v>
      </c>
      <c r="K34" s="17">
        <f t="shared" si="3"/>
        <v>0</v>
      </c>
      <c r="S34"/>
    </row>
    <row r="35" spans="1:19" s="6" customFormat="1" x14ac:dyDescent="0.25">
      <c r="A35" s="4" t="s">
        <v>202</v>
      </c>
      <c r="B35" s="41">
        <f>675819.43-650908.98-24910.45</f>
        <v>6.9121597334742546E-11</v>
      </c>
      <c r="C35" s="21"/>
      <c r="D35" s="6">
        <f>B35+C35</f>
        <v>6.9121597334742546E-11</v>
      </c>
      <c r="E35" s="41">
        <f>156209.1-156209.1</f>
        <v>0</v>
      </c>
      <c r="F35" s="21"/>
      <c r="G35" s="6">
        <f>E35+F35</f>
        <v>0</v>
      </c>
      <c r="H35" s="21"/>
      <c r="I35" s="21"/>
      <c r="J35" s="6">
        <f>H35+I35</f>
        <v>0</v>
      </c>
      <c r="K35" s="17">
        <f t="shared" si="3"/>
        <v>6.9121597334742546E-11</v>
      </c>
      <c r="S35"/>
    </row>
    <row r="36" spans="1:19" s="6" customFormat="1" x14ac:dyDescent="0.25">
      <c r="A36" s="4" t="s">
        <v>23</v>
      </c>
      <c r="B36" s="41">
        <v>43.69</v>
      </c>
      <c r="C36" s="21"/>
      <c r="D36" s="6">
        <f>B36+C36</f>
        <v>43.69</v>
      </c>
      <c r="E36" s="41">
        <v>20.059999999999999</v>
      </c>
      <c r="F36" s="21"/>
      <c r="G36" s="6">
        <f>E36+F36</f>
        <v>20.059999999999999</v>
      </c>
      <c r="H36" s="21"/>
      <c r="I36" s="21"/>
      <c r="J36" s="6">
        <f>H36+I36</f>
        <v>0</v>
      </c>
      <c r="K36" s="17">
        <f t="shared" si="3"/>
        <v>63.75</v>
      </c>
      <c r="S36"/>
    </row>
    <row r="37" spans="1:19" s="6" customFormat="1" x14ac:dyDescent="0.25">
      <c r="A37" s="4" t="s">
        <v>24</v>
      </c>
      <c r="B37" s="41">
        <f>2193.13+24910.45</f>
        <v>27103.58</v>
      </c>
      <c r="C37" s="21"/>
      <c r="D37" s="6">
        <f>B37+C37</f>
        <v>27103.58</v>
      </c>
      <c r="E37" s="41"/>
      <c r="F37" s="21"/>
      <c r="G37" s="6">
        <f>E37+F37</f>
        <v>0</v>
      </c>
      <c r="H37" s="21"/>
      <c r="I37" s="21"/>
      <c r="J37" s="6">
        <f>H37+I37</f>
        <v>0</v>
      </c>
      <c r="K37" s="17">
        <f t="shared" si="3"/>
        <v>27103.58</v>
      </c>
      <c r="S37"/>
    </row>
    <row r="38" spans="1:19" s="6" customFormat="1" x14ac:dyDescent="0.25">
      <c r="A38" s="2" t="s">
        <v>25</v>
      </c>
      <c r="B38" s="48">
        <f t="shared" ref="B38:G38" si="11">SUM(B33:B37)</f>
        <v>2994330.23</v>
      </c>
      <c r="C38" s="6">
        <f t="shared" si="11"/>
        <v>77350</v>
      </c>
      <c r="D38" s="6">
        <f t="shared" si="11"/>
        <v>3071680.23</v>
      </c>
      <c r="E38" s="48">
        <f t="shared" si="11"/>
        <v>192604.16</v>
      </c>
      <c r="F38" s="6">
        <f t="shared" si="11"/>
        <v>-39704</v>
      </c>
      <c r="G38" s="6">
        <f t="shared" si="11"/>
        <v>152900.16</v>
      </c>
      <c r="H38" s="6">
        <f t="shared" ref="H38:J38" si="12">SUM(H33:H37)</f>
        <v>0</v>
      </c>
      <c r="I38" s="6">
        <f t="shared" si="12"/>
        <v>0</v>
      </c>
      <c r="J38" s="6">
        <f t="shared" si="12"/>
        <v>0</v>
      </c>
      <c r="K38" s="17">
        <f t="shared" si="3"/>
        <v>3224580.39</v>
      </c>
      <c r="S38"/>
    </row>
    <row r="39" spans="1:19" s="6" customFormat="1" x14ac:dyDescent="0.25">
      <c r="A39"/>
      <c r="B39" s="48"/>
      <c r="E39" s="48"/>
      <c r="K39" s="17"/>
      <c r="S39"/>
    </row>
    <row r="40" spans="1:19" s="6" customFormat="1" x14ac:dyDescent="0.25">
      <c r="A40" s="3" t="s">
        <v>26</v>
      </c>
      <c r="B40" s="48"/>
      <c r="E40" s="48"/>
      <c r="K40" s="17"/>
      <c r="S40"/>
    </row>
    <row r="41" spans="1:19" s="6" customFormat="1" x14ac:dyDescent="0.25">
      <c r="A41" s="4" t="s">
        <v>27</v>
      </c>
      <c r="B41" s="87"/>
      <c r="C41" s="21"/>
      <c r="D41" s="6">
        <f t="shared" ref="D41:D46" si="13">B41+C41</f>
        <v>0</v>
      </c>
      <c r="E41" s="87"/>
      <c r="F41" s="21"/>
      <c r="G41" s="6">
        <f t="shared" ref="G41:G46" si="14">E41+F41</f>
        <v>0</v>
      </c>
      <c r="H41" s="21"/>
      <c r="I41" s="21"/>
      <c r="K41" s="17">
        <f t="shared" si="3"/>
        <v>0</v>
      </c>
      <c r="S41"/>
    </row>
    <row r="42" spans="1:19" s="6" customFormat="1" x14ac:dyDescent="0.25">
      <c r="A42" s="4" t="s">
        <v>28</v>
      </c>
      <c r="B42" s="87"/>
      <c r="C42" s="21"/>
      <c r="D42" s="6">
        <f t="shared" si="13"/>
        <v>0</v>
      </c>
      <c r="E42" s="87"/>
      <c r="F42" s="21"/>
      <c r="G42" s="6">
        <f t="shared" si="14"/>
        <v>0</v>
      </c>
      <c r="H42" s="21"/>
      <c r="I42" s="21"/>
      <c r="J42" s="6">
        <f>H42+I42</f>
        <v>0</v>
      </c>
      <c r="K42" s="17">
        <f t="shared" si="3"/>
        <v>0</v>
      </c>
      <c r="S42"/>
    </row>
    <row r="43" spans="1:19" s="6" customFormat="1" x14ac:dyDescent="0.25">
      <c r="A43" s="4" t="s">
        <v>29</v>
      </c>
      <c r="B43" s="87"/>
      <c r="C43" s="21"/>
      <c r="D43" s="6">
        <f t="shared" si="13"/>
        <v>0</v>
      </c>
      <c r="E43" s="87"/>
      <c r="F43" s="21"/>
      <c r="G43" s="6">
        <f t="shared" si="14"/>
        <v>0</v>
      </c>
      <c r="H43" s="21"/>
      <c r="I43" s="21"/>
      <c r="J43" s="6">
        <f>H43+I43</f>
        <v>0</v>
      </c>
      <c r="K43" s="17">
        <f t="shared" si="3"/>
        <v>0</v>
      </c>
      <c r="S43"/>
    </row>
    <row r="44" spans="1:19" s="6" customFormat="1" x14ac:dyDescent="0.25">
      <c r="A44" s="4" t="s">
        <v>30</v>
      </c>
      <c r="B44" s="87"/>
      <c r="C44" s="21"/>
      <c r="D44" s="6">
        <f t="shared" si="13"/>
        <v>0</v>
      </c>
      <c r="E44" s="87"/>
      <c r="F44" s="21"/>
      <c r="G44" s="6">
        <f t="shared" si="14"/>
        <v>0</v>
      </c>
      <c r="H44" s="21"/>
      <c r="I44" s="21"/>
      <c r="J44" s="6">
        <f>H44+I44</f>
        <v>0</v>
      </c>
      <c r="K44" s="17">
        <f t="shared" si="3"/>
        <v>0</v>
      </c>
      <c r="S44"/>
    </row>
    <row r="45" spans="1:19" s="6" customFormat="1" x14ac:dyDescent="0.25">
      <c r="A45" s="4" t="s">
        <v>31</v>
      </c>
      <c r="B45" s="41">
        <v>2897054.67</v>
      </c>
      <c r="C45" s="21"/>
      <c r="D45" s="6">
        <f t="shared" si="13"/>
        <v>2897054.67</v>
      </c>
      <c r="E45" s="41">
        <v>141677.57999999999</v>
      </c>
      <c r="F45" s="21"/>
      <c r="G45" s="6">
        <f t="shared" si="14"/>
        <v>141677.57999999999</v>
      </c>
      <c r="H45" s="21"/>
      <c r="I45" s="21">
        <v>4578.18</v>
      </c>
      <c r="J45" s="6">
        <f>H45+I45</f>
        <v>4578.18</v>
      </c>
      <c r="K45" s="17">
        <f t="shared" si="3"/>
        <v>3043310.43</v>
      </c>
      <c r="S45"/>
    </row>
    <row r="46" spans="1:19" s="6" customFormat="1" x14ac:dyDescent="0.25">
      <c r="A46" s="4" t="s">
        <v>62</v>
      </c>
      <c r="B46" s="87"/>
      <c r="C46" s="21"/>
      <c r="D46" s="6">
        <f t="shared" si="13"/>
        <v>0</v>
      </c>
      <c r="E46" s="87"/>
      <c r="F46" s="21"/>
      <c r="G46" s="6">
        <f t="shared" si="14"/>
        <v>0</v>
      </c>
      <c r="H46" s="21"/>
      <c r="I46" s="21"/>
      <c r="J46" s="6">
        <f>H46+I46</f>
        <v>0</v>
      </c>
      <c r="K46" s="17">
        <f t="shared" si="3"/>
        <v>0</v>
      </c>
      <c r="S46"/>
    </row>
    <row r="47" spans="1:19" s="6" customFormat="1" x14ac:dyDescent="0.25">
      <c r="A47" s="2" t="s">
        <v>32</v>
      </c>
      <c r="B47" s="48">
        <f t="shared" ref="B47:G47" si="15">SUM(B41:B46)</f>
        <v>2897054.67</v>
      </c>
      <c r="C47" s="6">
        <f t="shared" si="15"/>
        <v>0</v>
      </c>
      <c r="D47" s="6">
        <f t="shared" si="15"/>
        <v>2897054.67</v>
      </c>
      <c r="E47" s="48">
        <f t="shared" si="15"/>
        <v>141677.57999999999</v>
      </c>
      <c r="F47" s="6">
        <f t="shared" si="15"/>
        <v>0</v>
      </c>
      <c r="G47" s="6">
        <f t="shared" si="15"/>
        <v>141677.57999999999</v>
      </c>
      <c r="H47" s="6">
        <f t="shared" ref="H47:J47" si="16">SUM(H41:H46)</f>
        <v>0</v>
      </c>
      <c r="I47" s="6">
        <f t="shared" si="16"/>
        <v>4578.18</v>
      </c>
      <c r="J47" s="6">
        <f t="shared" si="16"/>
        <v>4578.18</v>
      </c>
      <c r="K47" s="17">
        <f t="shared" si="3"/>
        <v>3043310.43</v>
      </c>
      <c r="S47"/>
    </row>
    <row r="48" spans="1:19" s="6" customFormat="1" x14ac:dyDescent="0.25">
      <c r="A48"/>
      <c r="B48" s="48"/>
      <c r="E48" s="48"/>
      <c r="K48" s="17"/>
      <c r="S48"/>
    </row>
    <row r="49" spans="1:19" s="6" customFormat="1" x14ac:dyDescent="0.25">
      <c r="A49" s="2" t="s">
        <v>33</v>
      </c>
      <c r="B49" s="48">
        <f t="shared" ref="B49:J49" si="17">B38-B47</f>
        <v>97275.560000000056</v>
      </c>
      <c r="C49" s="6">
        <f t="shared" si="17"/>
        <v>77350</v>
      </c>
      <c r="D49" s="6">
        <f t="shared" si="17"/>
        <v>174625.56000000006</v>
      </c>
      <c r="E49" s="48">
        <f t="shared" si="17"/>
        <v>50926.580000000016</v>
      </c>
      <c r="F49" s="6">
        <f t="shared" si="17"/>
        <v>-39704</v>
      </c>
      <c r="G49" s="6">
        <f t="shared" si="17"/>
        <v>11222.580000000016</v>
      </c>
      <c r="H49" s="6">
        <f t="shared" si="17"/>
        <v>0</v>
      </c>
      <c r="I49" s="6">
        <f t="shared" si="17"/>
        <v>-4578.18</v>
      </c>
      <c r="J49" s="6">
        <f t="shared" si="17"/>
        <v>-4578.18</v>
      </c>
      <c r="K49" s="17">
        <f t="shared" si="3"/>
        <v>181269.96000000008</v>
      </c>
      <c r="S49"/>
    </row>
    <row r="50" spans="1:19" s="6" customFormat="1" x14ac:dyDescent="0.25">
      <c r="A50" s="2"/>
      <c r="B50" s="48"/>
      <c r="E50" s="48"/>
      <c r="K50" s="17"/>
      <c r="S50"/>
    </row>
    <row r="51" spans="1:19" s="6" customFormat="1" x14ac:dyDescent="0.25">
      <c r="A51" s="38" t="s">
        <v>301</v>
      </c>
      <c r="B51" s="41"/>
      <c r="C51" s="21"/>
      <c r="D51" s="6">
        <f>B51+C51</f>
        <v>0</v>
      </c>
      <c r="E51" s="41"/>
      <c r="F51" s="21"/>
      <c r="G51" s="6">
        <f>E51+F51</f>
        <v>0</v>
      </c>
      <c r="H51" s="21"/>
      <c r="I51" s="21"/>
      <c r="J51" s="6">
        <f>H51+I51</f>
        <v>0</v>
      </c>
      <c r="K51" s="17">
        <f t="shared" si="3"/>
        <v>0</v>
      </c>
      <c r="S51"/>
    </row>
    <row r="52" spans="1:19" s="6" customFormat="1" x14ac:dyDescent="0.25">
      <c r="A52" t="s">
        <v>34</v>
      </c>
      <c r="B52" s="41">
        <v>14104.51</v>
      </c>
      <c r="C52" s="21">
        <v>-4578.66</v>
      </c>
      <c r="D52" s="6">
        <f>B52+C52</f>
        <v>9525.85</v>
      </c>
      <c r="E52" s="41"/>
      <c r="F52" s="21"/>
      <c r="G52" s="6">
        <f>E52+F52</f>
        <v>0</v>
      </c>
      <c r="H52" s="21"/>
      <c r="I52" s="21"/>
      <c r="J52" s="6">
        <f>H52+I52</f>
        <v>0</v>
      </c>
      <c r="K52" s="17">
        <f t="shared" si="3"/>
        <v>9525.85</v>
      </c>
      <c r="S52"/>
    </row>
    <row r="53" spans="1:19" s="6" customFormat="1" x14ac:dyDescent="0.25">
      <c r="A53" t="s">
        <v>35</v>
      </c>
      <c r="B53" s="41">
        <v>184150.58</v>
      </c>
      <c r="C53" s="21"/>
      <c r="D53" s="6">
        <f>B53+C53</f>
        <v>184150.58</v>
      </c>
      <c r="E53" s="41">
        <v>11222.89</v>
      </c>
      <c r="F53" s="21"/>
      <c r="G53" s="6">
        <f>E53+F53</f>
        <v>11222.89</v>
      </c>
      <c r="H53" s="21"/>
      <c r="I53" s="21">
        <v>-4578.66</v>
      </c>
      <c r="J53" s="6">
        <f>H53+I53</f>
        <v>-4578.66</v>
      </c>
      <c r="K53" s="17">
        <f t="shared" si="3"/>
        <v>190794.80999999997</v>
      </c>
      <c r="S53"/>
    </row>
    <row r="54" spans="1:19" s="6" customFormat="1" x14ac:dyDescent="0.25">
      <c r="A54" s="2" t="s">
        <v>36</v>
      </c>
      <c r="B54" s="48">
        <f>B51+B52-B53</f>
        <v>-170046.06999999998</v>
      </c>
      <c r="C54" s="6">
        <f>C51+C52-C53</f>
        <v>-4578.66</v>
      </c>
      <c r="D54" s="6">
        <f>D51+D52-D53</f>
        <v>-174624.72999999998</v>
      </c>
      <c r="E54" s="48">
        <f>E51+E52-E53</f>
        <v>-11222.89</v>
      </c>
      <c r="F54" s="6">
        <f>F51+F52-F53</f>
        <v>0</v>
      </c>
      <c r="G54" s="6">
        <f>G52-G53</f>
        <v>-11222.89</v>
      </c>
      <c r="H54" s="6">
        <f>H51+H52-H53</f>
        <v>0</v>
      </c>
      <c r="I54" s="6">
        <f>I51+I52-I53</f>
        <v>4578.66</v>
      </c>
      <c r="J54" s="6">
        <f>H54+I54</f>
        <v>4578.66</v>
      </c>
      <c r="K54" s="17">
        <f t="shared" si="3"/>
        <v>-181268.96</v>
      </c>
      <c r="S54"/>
    </row>
    <row r="55" spans="1:19" s="6" customFormat="1" x14ac:dyDescent="0.25">
      <c r="A55"/>
      <c r="B55" s="48"/>
      <c r="C55"/>
      <c r="E55" s="48"/>
      <c r="F55"/>
      <c r="K55" s="17"/>
      <c r="S55"/>
    </row>
    <row r="56" spans="1:19" s="6" customFormat="1" x14ac:dyDescent="0.25">
      <c r="A56" s="2" t="s">
        <v>37</v>
      </c>
      <c r="B56" s="48">
        <f t="shared" ref="B56:J56" si="18">B49+B54</f>
        <v>-72770.509999999922</v>
      </c>
      <c r="C56" s="6">
        <f t="shared" si="18"/>
        <v>72771.34</v>
      </c>
      <c r="D56" s="6">
        <f t="shared" si="18"/>
        <v>0.83000000007450581</v>
      </c>
      <c r="E56" s="48">
        <f t="shared" si="18"/>
        <v>39703.690000000017</v>
      </c>
      <c r="F56" s="6">
        <f t="shared" si="18"/>
        <v>-39704</v>
      </c>
      <c r="G56" s="6">
        <f t="shared" si="18"/>
        <v>-0.30999999998311978</v>
      </c>
      <c r="H56" s="6">
        <f t="shared" si="18"/>
        <v>0</v>
      </c>
      <c r="I56" s="6">
        <f t="shared" si="18"/>
        <v>0.47999999999956344</v>
      </c>
      <c r="J56" s="6">
        <f t="shared" si="18"/>
        <v>0.47999999999956344</v>
      </c>
      <c r="K56" s="17">
        <f t="shared" si="3"/>
        <v>1.0000000000909495</v>
      </c>
      <c r="S56"/>
    </row>
    <row r="57" spans="1:19" s="6" customFormat="1" x14ac:dyDescent="0.25">
      <c r="A57" t="s">
        <v>38</v>
      </c>
      <c r="B57" s="48">
        <f t="shared" ref="B57:J57" si="19">B58-B56</f>
        <v>1.6799999999202555</v>
      </c>
      <c r="C57" s="6">
        <f t="shared" si="19"/>
        <v>0</v>
      </c>
      <c r="D57" s="6">
        <f t="shared" si="19"/>
        <v>1.6799999999202555</v>
      </c>
      <c r="E57" s="48">
        <f t="shared" si="19"/>
        <v>-0.13000000001920853</v>
      </c>
      <c r="F57" s="6">
        <f t="shared" si="19"/>
        <v>0</v>
      </c>
      <c r="G57" s="6">
        <f t="shared" si="19"/>
        <v>-0.13000000001920853</v>
      </c>
      <c r="H57" s="6">
        <f t="shared" si="19"/>
        <v>0</v>
      </c>
      <c r="I57" s="6">
        <f t="shared" si="19"/>
        <v>-0.47999999999956344</v>
      </c>
      <c r="J57" s="6">
        <f t="shared" si="19"/>
        <v>-0.47999999999956344</v>
      </c>
      <c r="K57" s="17">
        <f t="shared" si="3"/>
        <v>1.0699999999014835</v>
      </c>
      <c r="S57"/>
    </row>
    <row r="58" spans="1:19" s="6" customFormat="1" x14ac:dyDescent="0.25">
      <c r="A58" s="2" t="s">
        <v>39</v>
      </c>
      <c r="B58" s="48">
        <f t="shared" ref="B58:J58" si="20">B28</f>
        <v>-72768.83</v>
      </c>
      <c r="C58" s="6">
        <f t="shared" si="20"/>
        <v>72771.34</v>
      </c>
      <c r="D58" s="6">
        <f t="shared" si="20"/>
        <v>2.5099999999947613</v>
      </c>
      <c r="E58" s="48">
        <f t="shared" si="20"/>
        <v>39703.56</v>
      </c>
      <c r="F58" s="6">
        <f t="shared" si="20"/>
        <v>-39704</v>
      </c>
      <c r="G58" s="6">
        <f t="shared" si="20"/>
        <v>-0.44000000000232831</v>
      </c>
      <c r="H58" s="6">
        <f t="shared" si="20"/>
        <v>0</v>
      </c>
      <c r="I58" s="6">
        <f t="shared" si="20"/>
        <v>0</v>
      </c>
      <c r="J58" s="6">
        <f t="shared" si="20"/>
        <v>0</v>
      </c>
      <c r="K58" s="17">
        <f t="shared" si="3"/>
        <v>2.069999999992433</v>
      </c>
      <c r="S58"/>
    </row>
  </sheetData>
  <customSheetViews>
    <customSheetView guid="{E68B3865-8D72-47E7-BE32-0FF7EB09E889}" fitToPage="1">
      <pane xSplit="1" ySplit="7" topLeftCell="B41" activePane="bottomRight" state="frozen"/>
      <selection pane="bottomRight" activeCell="I44" sqref="I44"/>
      <pageMargins left="0.7" right="0.7" top="0.75" bottom="0.75" header="0.3" footer="0.3"/>
      <pageSetup scale="60" orientation="portrait" horizontalDpi="1200" r:id="rId1"/>
    </customSheetView>
    <customSheetView guid="{2B2709E2-6DF4-4CC4-88D0-056FB306137C}" fitToPage="1">
      <pane xSplit="1" ySplit="7" topLeftCell="B14" activePane="bottomRight" state="frozen"/>
      <selection pane="bottomRight" activeCell="O43" sqref="O43"/>
      <pageMargins left="0.7" right="0.7" top="0.75" bottom="0.75" header="0.3" footer="0.3"/>
      <pageSetup scale="60" orientation="portrait" horizontalDpi="1200" r:id="rId2"/>
    </customSheetView>
    <customSheetView guid="{EC03C3C8-7E57-47C6-8413-F484E8C46A0C}" showPageBreaks="1" fitToPage="1" topLeftCell="A32">
      <selection activeCell="E52" sqref="E52"/>
      <pageMargins left="0.7" right="0.7" top="0.75" bottom="0.75" header="0.3" footer="0.3"/>
      <pageSetup scale="73" orientation="portrait" horizontalDpi="1200" r:id="rId3"/>
    </customSheetView>
    <customSheetView guid="{A6F79E61-D6A3-44FD-B4A4-4724DF74349B}" showPageBreaks="1" fitToPage="1" topLeftCell="A25">
      <selection activeCell="K54" sqref="K54"/>
      <pageMargins left="0.7" right="0.7" top="0.75" bottom="0.75" header="0.3" footer="0.3"/>
      <pageSetup scale="55" orientation="portrait" horizontalDpi="1200" r:id="rId4"/>
    </customSheetView>
    <customSheetView guid="{DE6E911D-85BF-467A-AA00-1E84C5349CF7}" showPageBreaks="1" fitToPage="1">
      <selection activeCell="C21" sqref="C21"/>
      <pageMargins left="0.7" right="0.7" top="0.75" bottom="0.75" header="0.3" footer="0.3"/>
      <pageSetup scale="55" orientation="portrait" horizontalDpi="1200" r:id="rId5"/>
    </customSheetView>
  </customSheetViews>
  <pageMargins left="0.7" right="0.7" top="0.75" bottom="0.75" header="0.3" footer="0.3"/>
  <pageSetup scale="60" orientation="portrait" horizontalDpi="1200" r:id="rId6"/>
  <legacyDrawing r:id="rId7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58"/>
  <sheetViews>
    <sheetView workbookViewId="0">
      <pane xSplit="1" ySplit="5" topLeftCell="B36" activePane="bottomRight" state="frozen"/>
      <selection pane="topRight" activeCell="B1" sqref="B1"/>
      <selection pane="bottomLeft" activeCell="A6" sqref="A6"/>
      <selection pane="bottomRight" activeCell="A4" sqref="A4"/>
    </sheetView>
  </sheetViews>
  <sheetFormatPr defaultRowHeight="15" outlineLevelCol="1" x14ac:dyDescent="0.25"/>
  <cols>
    <col min="1" max="1" width="31" customWidth="1"/>
    <col min="2" max="2" width="14.7109375" style="6" customWidth="1" outlineLevel="1"/>
    <col min="3" max="3" width="12.7109375" style="6" customWidth="1" outlineLevel="1"/>
    <col min="4" max="4" width="14.7109375" style="6" customWidth="1"/>
    <col min="5" max="5" width="12" style="6" bestFit="1" customWidth="1" outlineLevel="1"/>
    <col min="6" max="6" width="12.7109375" style="6" customWidth="1" outlineLevel="1"/>
    <col min="7" max="7" width="13.7109375" style="6" bestFit="1" customWidth="1"/>
    <col min="8" max="8" width="13.7109375" style="48" bestFit="1" customWidth="1" outlineLevel="1"/>
    <col min="9" max="9" width="12.7109375" style="6" customWidth="1" outlineLevel="1"/>
    <col min="10" max="10" width="13.7109375" style="6" bestFit="1" customWidth="1"/>
    <col min="11" max="11" width="14" style="48" bestFit="1" customWidth="1" outlineLevel="1"/>
    <col min="12" max="12" width="12.7109375" style="6" customWidth="1" outlineLevel="1"/>
    <col min="13" max="13" width="14.42578125" style="6" customWidth="1"/>
    <col min="14" max="14" width="15.28515625" style="6" customWidth="1"/>
    <col min="15" max="16" width="11.85546875" style="6" customWidth="1"/>
    <col min="17" max="17" width="14" style="6" customWidth="1"/>
    <col min="18" max="19" width="11.140625" style="6" bestFit="1" customWidth="1"/>
    <col min="20" max="20" width="9.140625" style="6"/>
    <col min="21" max="21" width="13.5703125" style="6" bestFit="1" customWidth="1"/>
    <col min="22" max="22" width="12.7109375" bestFit="1" customWidth="1"/>
  </cols>
  <sheetData>
    <row r="1" spans="1:21" ht="23.25" x14ac:dyDescent="0.35">
      <c r="A1" s="5" t="s">
        <v>303</v>
      </c>
    </row>
    <row r="2" spans="1:21" x14ac:dyDescent="0.25">
      <c r="A2" t="s">
        <v>1</v>
      </c>
    </row>
    <row r="3" spans="1:21" x14ac:dyDescent="0.25">
      <c r="A3" s="1">
        <v>43435</v>
      </c>
    </row>
    <row r="4" spans="1:21" x14ac:dyDescent="0.25">
      <c r="A4" s="1"/>
    </row>
    <row r="5" spans="1:21" ht="45" x14ac:dyDescent="0.25">
      <c r="A5" s="1"/>
      <c r="B5" s="7" t="s">
        <v>304</v>
      </c>
      <c r="C5" s="7" t="s">
        <v>47</v>
      </c>
      <c r="D5" s="7" t="s">
        <v>305</v>
      </c>
      <c r="E5" s="7" t="s">
        <v>294</v>
      </c>
      <c r="F5" s="7" t="s">
        <v>47</v>
      </c>
      <c r="G5" s="7" t="s">
        <v>293</v>
      </c>
      <c r="H5" s="49" t="s">
        <v>292</v>
      </c>
      <c r="I5" s="7" t="s">
        <v>47</v>
      </c>
      <c r="J5" s="7" t="s">
        <v>291</v>
      </c>
      <c r="K5" s="49" t="s">
        <v>290</v>
      </c>
      <c r="L5" s="7" t="s">
        <v>47</v>
      </c>
      <c r="M5" s="7" t="s">
        <v>289</v>
      </c>
      <c r="N5" s="18" t="s">
        <v>306</v>
      </c>
      <c r="O5" s="7"/>
      <c r="P5" s="7"/>
      <c r="Q5" s="7"/>
      <c r="R5" s="7"/>
      <c r="S5" s="7"/>
      <c r="T5" s="7"/>
      <c r="U5" s="7"/>
    </row>
    <row r="6" spans="1:21" x14ac:dyDescent="0.25">
      <c r="N6" s="17"/>
    </row>
    <row r="7" spans="1:21" x14ac:dyDescent="0.25">
      <c r="A7" s="3" t="s">
        <v>2</v>
      </c>
      <c r="N7" s="17"/>
    </row>
    <row r="8" spans="1:21" x14ac:dyDescent="0.25">
      <c r="A8" s="4" t="s">
        <v>3</v>
      </c>
      <c r="B8" s="21">
        <v>1449657.41</v>
      </c>
      <c r="C8" s="21"/>
      <c r="D8" s="6">
        <f t="shared" ref="D8:D13" si="0">B8+C8</f>
        <v>1449657.41</v>
      </c>
      <c r="E8" s="21"/>
      <c r="F8" s="21"/>
      <c r="G8" s="55">
        <f t="shared" ref="G8:G13" si="1">E8+F8</f>
        <v>0</v>
      </c>
      <c r="H8" s="41">
        <v>0.01</v>
      </c>
      <c r="I8" s="21"/>
      <c r="J8" s="6">
        <f t="shared" ref="J8:J13" si="2">H8+I8</f>
        <v>0.01</v>
      </c>
      <c r="K8" s="41">
        <v>2587.14</v>
      </c>
      <c r="L8" s="21"/>
      <c r="M8" s="6">
        <f t="shared" ref="M8:M13" si="3">K8+L8</f>
        <v>2587.14</v>
      </c>
      <c r="N8" s="17">
        <f t="shared" ref="N8:N40" si="4">D8+G8+J8+M8</f>
        <v>1452244.5599999998</v>
      </c>
    </row>
    <row r="9" spans="1:21" x14ac:dyDescent="0.25">
      <c r="A9" s="4" t="s">
        <v>189</v>
      </c>
      <c r="B9" s="21"/>
      <c r="C9" s="21"/>
      <c r="D9" s="6">
        <f t="shared" si="0"/>
        <v>0</v>
      </c>
      <c r="E9" s="21"/>
      <c r="F9" s="21"/>
      <c r="G9" s="6">
        <f t="shared" si="1"/>
        <v>0</v>
      </c>
      <c r="H9" s="41"/>
      <c r="I9" s="21"/>
      <c r="J9" s="6">
        <f t="shared" si="2"/>
        <v>0</v>
      </c>
      <c r="K9" s="41"/>
      <c r="L9" s="21"/>
      <c r="M9" s="6">
        <f t="shared" si="3"/>
        <v>0</v>
      </c>
      <c r="N9" s="17">
        <f t="shared" si="4"/>
        <v>0</v>
      </c>
    </row>
    <row r="10" spans="1:21" x14ac:dyDescent="0.25">
      <c r="A10" s="4" t="s">
        <v>4</v>
      </c>
      <c r="B10" s="21"/>
      <c r="C10" s="21"/>
      <c r="D10" s="6">
        <f>B10+C10</f>
        <v>0</v>
      </c>
      <c r="E10" s="21"/>
      <c r="F10" s="21"/>
      <c r="G10" s="6">
        <f t="shared" si="1"/>
        <v>0</v>
      </c>
      <c r="H10" s="41">
        <v>0</v>
      </c>
      <c r="I10" s="21"/>
      <c r="J10" s="6">
        <f t="shared" si="2"/>
        <v>0</v>
      </c>
      <c r="K10" s="41"/>
      <c r="L10" s="21"/>
      <c r="M10" s="6">
        <f>K10+L10</f>
        <v>0</v>
      </c>
      <c r="N10" s="17">
        <f t="shared" si="4"/>
        <v>0</v>
      </c>
    </row>
    <row r="11" spans="1:21" x14ac:dyDescent="0.25">
      <c r="A11" s="4" t="s">
        <v>6</v>
      </c>
      <c r="B11" s="21">
        <v>12632.62</v>
      </c>
      <c r="C11" s="21"/>
      <c r="D11" s="6">
        <f t="shared" si="0"/>
        <v>12632.62</v>
      </c>
      <c r="E11" s="21"/>
      <c r="F11" s="21"/>
      <c r="G11" s="6">
        <f t="shared" si="1"/>
        <v>0</v>
      </c>
      <c r="H11" s="41"/>
      <c r="I11" s="21"/>
      <c r="J11" s="6">
        <f t="shared" si="2"/>
        <v>0</v>
      </c>
      <c r="K11" s="41">
        <v>3137.95</v>
      </c>
      <c r="L11" s="21"/>
      <c r="M11" s="6">
        <f t="shared" si="3"/>
        <v>3137.95</v>
      </c>
      <c r="N11" s="17">
        <f t="shared" si="4"/>
        <v>15770.57</v>
      </c>
    </row>
    <row r="12" spans="1:21" x14ac:dyDescent="0.25">
      <c r="A12" s="4" t="s">
        <v>5</v>
      </c>
      <c r="B12" s="21"/>
      <c r="C12" s="21"/>
      <c r="D12" s="6">
        <f t="shared" si="0"/>
        <v>0</v>
      </c>
      <c r="E12" s="21"/>
      <c r="F12" s="21"/>
      <c r="G12" s="6">
        <f t="shared" si="1"/>
        <v>0</v>
      </c>
      <c r="H12" s="41"/>
      <c r="I12" s="21"/>
      <c r="J12" s="6">
        <f t="shared" si="2"/>
        <v>0</v>
      </c>
      <c r="K12" s="41"/>
      <c r="L12" s="21">
        <f>89169-63160</f>
        <v>26009</v>
      </c>
      <c r="M12" s="6">
        <f>K12+L12</f>
        <v>26009</v>
      </c>
      <c r="N12" s="17">
        <f t="shared" si="4"/>
        <v>26009</v>
      </c>
    </row>
    <row r="13" spans="1:21" x14ac:dyDescent="0.25">
      <c r="A13" s="4" t="s">
        <v>61</v>
      </c>
      <c r="B13" s="21"/>
      <c r="C13" s="21"/>
      <c r="D13" s="6">
        <f t="shared" si="0"/>
        <v>0</v>
      </c>
      <c r="E13" s="21"/>
      <c r="F13" s="21"/>
      <c r="G13" s="6">
        <f t="shared" si="1"/>
        <v>0</v>
      </c>
      <c r="H13" s="41"/>
      <c r="I13" s="21"/>
      <c r="J13" s="6">
        <f t="shared" si="2"/>
        <v>0</v>
      </c>
      <c r="K13" s="41"/>
      <c r="L13" s="21"/>
      <c r="M13" s="6">
        <f t="shared" si="3"/>
        <v>0</v>
      </c>
      <c r="N13" s="17">
        <f t="shared" si="4"/>
        <v>0</v>
      </c>
    </row>
    <row r="14" spans="1:21" x14ac:dyDescent="0.25">
      <c r="A14" s="2" t="s">
        <v>7</v>
      </c>
      <c r="B14" s="6">
        <f t="shared" ref="B14:L14" si="5">SUM(B8:B13)</f>
        <v>1462290.03</v>
      </c>
      <c r="C14" s="6">
        <f t="shared" si="5"/>
        <v>0</v>
      </c>
      <c r="D14" s="6">
        <f t="shared" si="5"/>
        <v>1462290.03</v>
      </c>
      <c r="E14" s="6">
        <f t="shared" si="5"/>
        <v>0</v>
      </c>
      <c r="F14" s="6">
        <f t="shared" si="5"/>
        <v>0</v>
      </c>
      <c r="G14" s="6">
        <f t="shared" si="5"/>
        <v>0</v>
      </c>
      <c r="H14" s="48">
        <f t="shared" si="5"/>
        <v>0.01</v>
      </c>
      <c r="I14" s="6">
        <f t="shared" si="5"/>
        <v>0</v>
      </c>
      <c r="J14" s="6">
        <f t="shared" si="5"/>
        <v>0.01</v>
      </c>
      <c r="K14" s="48">
        <f t="shared" si="5"/>
        <v>5725.09</v>
      </c>
      <c r="L14" s="6">
        <f t="shared" si="5"/>
        <v>26009</v>
      </c>
      <c r="M14" s="6">
        <f>SUM(M8:M13)</f>
        <v>31734.09</v>
      </c>
      <c r="N14" s="17">
        <f t="shared" si="4"/>
        <v>1494024.1300000001</v>
      </c>
    </row>
    <row r="15" spans="1:21" x14ac:dyDescent="0.25">
      <c r="N15" s="17"/>
    </row>
    <row r="16" spans="1:21" x14ac:dyDescent="0.25">
      <c r="A16" s="3" t="s">
        <v>8</v>
      </c>
      <c r="N16" s="17"/>
    </row>
    <row r="17" spans="1:22" x14ac:dyDescent="0.25">
      <c r="A17" s="4" t="s">
        <v>9</v>
      </c>
      <c r="B17" s="21">
        <v>39834.589999999997</v>
      </c>
      <c r="C17" s="21"/>
      <c r="D17" s="6">
        <f>B17+C17</f>
        <v>39834.589999999997</v>
      </c>
      <c r="E17" s="21"/>
      <c r="F17" s="21"/>
      <c r="G17" s="6">
        <f>E17+F17</f>
        <v>0</v>
      </c>
      <c r="H17" s="41"/>
      <c r="I17" s="21"/>
      <c r="J17" s="6">
        <f>H17+I17</f>
        <v>0</v>
      </c>
      <c r="K17" s="41">
        <v>16922.310000000001</v>
      </c>
      <c r="L17" s="21"/>
      <c r="M17" s="6">
        <f>K17+L17</f>
        <v>16922.310000000001</v>
      </c>
      <c r="N17" s="17">
        <f t="shared" si="4"/>
        <v>56756.899999999994</v>
      </c>
    </row>
    <row r="18" spans="1:22" s="6" customFormat="1" x14ac:dyDescent="0.25">
      <c r="A18" s="4" t="s">
        <v>10</v>
      </c>
      <c r="B18" s="21">
        <v>21661.09</v>
      </c>
      <c r="C18" s="21"/>
      <c r="D18" s="6">
        <f>B18+C18</f>
        <v>21661.09</v>
      </c>
      <c r="E18" s="21"/>
      <c r="F18" s="21"/>
      <c r="G18" s="6">
        <f>E18+F18</f>
        <v>0</v>
      </c>
      <c r="H18" s="41"/>
      <c r="I18" s="21"/>
      <c r="J18" s="6">
        <f>H18+I18</f>
        <v>0</v>
      </c>
      <c r="K18" s="41">
        <v>6353.77</v>
      </c>
      <c r="L18" s="21"/>
      <c r="M18" s="6">
        <f>K18+L18</f>
        <v>6353.77</v>
      </c>
      <c r="N18" s="17">
        <f t="shared" si="4"/>
        <v>28014.86</v>
      </c>
      <c r="V18"/>
    </row>
    <row r="19" spans="1:22" s="6" customFormat="1" x14ac:dyDescent="0.25">
      <c r="A19" s="4" t="s">
        <v>190</v>
      </c>
      <c r="B19" s="21"/>
      <c r="C19" s="21"/>
      <c r="D19" s="6">
        <f>B19+C19</f>
        <v>0</v>
      </c>
      <c r="E19" s="21"/>
      <c r="F19" s="21"/>
      <c r="G19" s="6">
        <f>E19+F19</f>
        <v>0</v>
      </c>
      <c r="H19" s="41"/>
      <c r="I19" s="21"/>
      <c r="J19" s="6">
        <f>H19+I19</f>
        <v>0</v>
      </c>
      <c r="K19" s="41"/>
      <c r="L19" s="21"/>
      <c r="M19" s="6">
        <f>K19+L19</f>
        <v>0</v>
      </c>
      <c r="N19" s="17">
        <f t="shared" si="4"/>
        <v>0</v>
      </c>
      <c r="V19"/>
    </row>
    <row r="20" spans="1:22" s="6" customFormat="1" x14ac:dyDescent="0.25">
      <c r="A20" s="4" t="s">
        <v>11</v>
      </c>
      <c r="B20" s="21"/>
      <c r="C20" s="21"/>
      <c r="D20" s="6">
        <f>B20+C20</f>
        <v>0</v>
      </c>
      <c r="E20" s="21"/>
      <c r="F20" s="21"/>
      <c r="G20" s="6">
        <f>E20+F20</f>
        <v>0</v>
      </c>
      <c r="H20" s="41"/>
      <c r="I20" s="21"/>
      <c r="J20" s="6">
        <f>H20+I20</f>
        <v>0</v>
      </c>
      <c r="K20" s="41"/>
      <c r="L20" s="21"/>
      <c r="M20" s="6">
        <f>K20+L20</f>
        <v>0</v>
      </c>
      <c r="N20" s="17">
        <f t="shared" si="4"/>
        <v>0</v>
      </c>
      <c r="V20"/>
    </row>
    <row r="21" spans="1:22" s="6" customFormat="1" x14ac:dyDescent="0.25">
      <c r="A21" s="4" t="s">
        <v>12</v>
      </c>
      <c r="B21" s="21">
        <v>870403.91</v>
      </c>
      <c r="C21" s="21">
        <v>530390</v>
      </c>
      <c r="D21" s="6">
        <f>B21+C21</f>
        <v>1400793.9100000001</v>
      </c>
      <c r="E21" s="21"/>
      <c r="F21" s="21"/>
      <c r="G21" s="6">
        <f>E21+F21</f>
        <v>0</v>
      </c>
      <c r="H21" s="41"/>
      <c r="I21" s="21"/>
      <c r="J21" s="6">
        <f>H21+I21</f>
        <v>0</v>
      </c>
      <c r="K21" s="41">
        <v>12069</v>
      </c>
      <c r="L21" s="21">
        <v>-3612</v>
      </c>
      <c r="M21" s="6">
        <f>K21+L21</f>
        <v>8457</v>
      </c>
      <c r="N21" s="17">
        <f t="shared" si="4"/>
        <v>1409250.9100000001</v>
      </c>
      <c r="V21"/>
    </row>
    <row r="22" spans="1:22" s="6" customFormat="1" x14ac:dyDescent="0.25">
      <c r="A22" s="2" t="s">
        <v>13</v>
      </c>
      <c r="B22" s="6">
        <f>SUM(B17:B21)</f>
        <v>931899.59000000008</v>
      </c>
      <c r="C22" s="6">
        <f t="shared" ref="C22:L22" si="6">SUM(C17:C21)</f>
        <v>530390</v>
      </c>
      <c r="D22" s="6">
        <f t="shared" si="6"/>
        <v>1462289.59</v>
      </c>
      <c r="E22" s="6">
        <f t="shared" si="6"/>
        <v>0</v>
      </c>
      <c r="F22" s="6">
        <f t="shared" si="6"/>
        <v>0</v>
      </c>
      <c r="G22" s="6">
        <f t="shared" si="6"/>
        <v>0</v>
      </c>
      <c r="H22" s="48">
        <f t="shared" si="6"/>
        <v>0</v>
      </c>
      <c r="I22" s="6">
        <f t="shared" si="6"/>
        <v>0</v>
      </c>
      <c r="J22" s="6">
        <f t="shared" si="6"/>
        <v>0</v>
      </c>
      <c r="K22" s="48">
        <f t="shared" si="6"/>
        <v>35345.08</v>
      </c>
      <c r="L22" s="6">
        <f t="shared" si="6"/>
        <v>-3612</v>
      </c>
      <c r="M22" s="6">
        <f>SUM(M17:M21)</f>
        <v>31733.08</v>
      </c>
      <c r="N22" s="17">
        <f t="shared" si="4"/>
        <v>1494022.6700000002</v>
      </c>
      <c r="V22"/>
    </row>
    <row r="23" spans="1:22" s="6" customFormat="1" x14ac:dyDescent="0.25">
      <c r="A23"/>
      <c r="H23" s="48"/>
      <c r="K23" s="48"/>
      <c r="N23" s="17"/>
      <c r="V23"/>
    </row>
    <row r="24" spans="1:22" s="6" customFormat="1" x14ac:dyDescent="0.25">
      <c r="A24" s="3" t="s">
        <v>14</v>
      </c>
      <c r="H24" s="48"/>
      <c r="K24" s="48"/>
      <c r="N24" s="17"/>
      <c r="V24"/>
    </row>
    <row r="25" spans="1:22" s="6" customFormat="1" x14ac:dyDescent="0.25">
      <c r="A25" s="4" t="s">
        <v>15</v>
      </c>
      <c r="B25" s="21"/>
      <c r="C25" s="21"/>
      <c r="D25" s="6">
        <f>B25+C25</f>
        <v>0</v>
      </c>
      <c r="E25" s="21"/>
      <c r="F25" s="21"/>
      <c r="G25" s="6">
        <f>E25+F25</f>
        <v>0</v>
      </c>
      <c r="H25" s="41"/>
      <c r="I25" s="21"/>
      <c r="J25" s="6">
        <f>H25+I25</f>
        <v>0</v>
      </c>
      <c r="K25" s="41"/>
      <c r="L25" s="21"/>
      <c r="M25" s="6">
        <f>K25+L25</f>
        <v>0</v>
      </c>
      <c r="N25" s="17">
        <f t="shared" si="4"/>
        <v>0</v>
      </c>
      <c r="V25"/>
    </row>
    <row r="26" spans="1:22" s="6" customFormat="1" x14ac:dyDescent="0.25">
      <c r="A26" s="4" t="s">
        <v>16</v>
      </c>
      <c r="B26" s="37"/>
      <c r="C26" s="21"/>
      <c r="D26" s="6">
        <f>B26+C26</f>
        <v>0</v>
      </c>
      <c r="E26" s="37"/>
      <c r="F26" s="21"/>
      <c r="G26" s="6">
        <f>E26+F26</f>
        <v>0</v>
      </c>
      <c r="H26" s="41"/>
      <c r="I26" s="21"/>
      <c r="J26" s="6">
        <f>H26+I26</f>
        <v>0</v>
      </c>
      <c r="K26" s="50"/>
      <c r="L26" s="21"/>
      <c r="M26" s="6">
        <f>K26+L26</f>
        <v>0</v>
      </c>
      <c r="N26" s="17">
        <f t="shared" si="4"/>
        <v>0</v>
      </c>
      <c r="V26"/>
    </row>
    <row r="27" spans="1:22" s="6" customFormat="1" x14ac:dyDescent="0.25">
      <c r="A27" s="4" t="s">
        <v>17</v>
      </c>
      <c r="B27" s="21">
        <f>529784.76+605.68</f>
        <v>530390.44000000006</v>
      </c>
      <c r="C27" s="21">
        <v>-530390</v>
      </c>
      <c r="D27" s="6">
        <f>B27+C27</f>
        <v>0.44000000006053597</v>
      </c>
      <c r="E27" s="21"/>
      <c r="F27" s="21"/>
      <c r="G27" s="6">
        <f>E27+F27</f>
        <v>0</v>
      </c>
      <c r="H27" s="41">
        <v>0.01</v>
      </c>
      <c r="I27" s="21"/>
      <c r="J27" s="6">
        <f>H27+I27</f>
        <v>0.01</v>
      </c>
      <c r="K27" s="41">
        <v>-29619.99</v>
      </c>
      <c r="L27" s="21">
        <f>89169-63160+3612</f>
        <v>29621</v>
      </c>
      <c r="M27" s="6">
        <f>K27+L27</f>
        <v>1.0099999999983993</v>
      </c>
      <c r="N27" s="17">
        <f t="shared" si="4"/>
        <v>1.4600000000589353</v>
      </c>
      <c r="V27"/>
    </row>
    <row r="28" spans="1:22" s="6" customFormat="1" x14ac:dyDescent="0.25">
      <c r="A28" s="2" t="s">
        <v>18</v>
      </c>
      <c r="B28" s="6">
        <f t="shared" ref="B28:M28" si="7">SUM(B25:B27)</f>
        <v>530390.44000000006</v>
      </c>
      <c r="C28" s="6">
        <f t="shared" si="7"/>
        <v>-530390</v>
      </c>
      <c r="D28" s="6">
        <f t="shared" si="7"/>
        <v>0.44000000006053597</v>
      </c>
      <c r="E28" s="6">
        <f t="shared" si="7"/>
        <v>0</v>
      </c>
      <c r="F28" s="6">
        <f t="shared" si="7"/>
        <v>0</v>
      </c>
      <c r="G28" s="6">
        <f t="shared" si="7"/>
        <v>0</v>
      </c>
      <c r="H28" s="48">
        <f t="shared" si="7"/>
        <v>0.01</v>
      </c>
      <c r="I28" s="6">
        <f t="shared" si="7"/>
        <v>0</v>
      </c>
      <c r="J28" s="6">
        <f t="shared" si="7"/>
        <v>0.01</v>
      </c>
      <c r="K28" s="48">
        <f t="shared" si="7"/>
        <v>-29619.99</v>
      </c>
      <c r="L28" s="6">
        <f t="shared" si="7"/>
        <v>29621</v>
      </c>
      <c r="M28" s="6">
        <f t="shared" si="7"/>
        <v>1.0099999999983993</v>
      </c>
      <c r="N28" s="17">
        <f t="shared" si="4"/>
        <v>1.4600000000589353</v>
      </c>
      <c r="V28"/>
    </row>
    <row r="29" spans="1:22" s="6" customFormat="1" x14ac:dyDescent="0.25">
      <c r="A29"/>
      <c r="H29" s="48"/>
      <c r="K29" s="48"/>
      <c r="N29" s="17"/>
      <c r="V29"/>
    </row>
    <row r="30" spans="1:22" s="6" customFormat="1" x14ac:dyDescent="0.25">
      <c r="A30" s="2" t="s">
        <v>19</v>
      </c>
      <c r="B30" s="6">
        <f t="shared" ref="B30:M30" si="8">B22+B28</f>
        <v>1462290.0300000003</v>
      </c>
      <c r="C30" s="6">
        <f t="shared" si="8"/>
        <v>0</v>
      </c>
      <c r="D30" s="6">
        <f t="shared" si="8"/>
        <v>1462290.0300000003</v>
      </c>
      <c r="E30" s="6">
        <f t="shared" si="8"/>
        <v>0</v>
      </c>
      <c r="F30" s="6">
        <f t="shared" si="8"/>
        <v>0</v>
      </c>
      <c r="G30" s="6">
        <f t="shared" si="8"/>
        <v>0</v>
      </c>
      <c r="H30" s="6">
        <f t="shared" si="8"/>
        <v>0.01</v>
      </c>
      <c r="I30" s="6">
        <f t="shared" si="8"/>
        <v>0</v>
      </c>
      <c r="J30" s="6">
        <f t="shared" si="8"/>
        <v>0.01</v>
      </c>
      <c r="K30" s="6">
        <f t="shared" si="8"/>
        <v>5725.09</v>
      </c>
      <c r="L30" s="6">
        <f t="shared" si="8"/>
        <v>26009</v>
      </c>
      <c r="M30" s="6">
        <f t="shared" si="8"/>
        <v>31734.09</v>
      </c>
      <c r="N30" s="17">
        <f t="shared" si="4"/>
        <v>1494024.1300000004</v>
      </c>
      <c r="V30"/>
    </row>
    <row r="31" spans="1:22" s="6" customFormat="1" x14ac:dyDescent="0.25">
      <c r="A31"/>
      <c r="B31" s="55" t="str">
        <f>IF(B14=B30,"YES","NO")</f>
        <v>YES</v>
      </c>
      <c r="C31" s="55" t="str">
        <f t="shared" ref="C31:M31" si="9">IF(C14=C30,"YES","NO")</f>
        <v>YES</v>
      </c>
      <c r="D31" s="55" t="str">
        <f t="shared" si="9"/>
        <v>YES</v>
      </c>
      <c r="E31" s="55" t="str">
        <f t="shared" si="9"/>
        <v>YES</v>
      </c>
      <c r="F31" s="55" t="str">
        <f t="shared" si="9"/>
        <v>YES</v>
      </c>
      <c r="G31" s="55" t="str">
        <f t="shared" si="9"/>
        <v>YES</v>
      </c>
      <c r="H31" s="55" t="str">
        <f t="shared" si="9"/>
        <v>YES</v>
      </c>
      <c r="I31" s="55" t="str">
        <f t="shared" si="9"/>
        <v>YES</v>
      </c>
      <c r="J31" s="55" t="str">
        <f t="shared" si="9"/>
        <v>YES</v>
      </c>
      <c r="K31" s="55" t="str">
        <f t="shared" si="9"/>
        <v>YES</v>
      </c>
      <c r="L31" s="55" t="str">
        <f t="shared" si="9"/>
        <v>YES</v>
      </c>
      <c r="M31" s="55" t="str">
        <f t="shared" si="9"/>
        <v>YES</v>
      </c>
      <c r="N31" s="55"/>
      <c r="V31"/>
    </row>
    <row r="32" spans="1:22" s="6" customFormat="1" x14ac:dyDescent="0.25">
      <c r="A32" s="3" t="s">
        <v>20</v>
      </c>
      <c r="H32" s="48"/>
      <c r="K32" s="48"/>
      <c r="N32" s="17">
        <f t="shared" si="4"/>
        <v>0</v>
      </c>
      <c r="V32"/>
    </row>
    <row r="33" spans="1:22" s="6" customFormat="1" x14ac:dyDescent="0.25">
      <c r="A33" s="4" t="s">
        <v>21</v>
      </c>
      <c r="B33" s="21">
        <f>1989300.78</f>
        <v>1989300.78</v>
      </c>
      <c r="C33" s="21">
        <v>-530390</v>
      </c>
      <c r="D33" s="6">
        <f>B33+C33</f>
        <v>1458910.78</v>
      </c>
      <c r="E33" s="21"/>
      <c r="F33" s="21"/>
      <c r="G33" s="6">
        <f>E33+F33</f>
        <v>0</v>
      </c>
      <c r="H33" s="41"/>
      <c r="I33" s="21"/>
      <c r="J33" s="6">
        <f>H33+I33</f>
        <v>0</v>
      </c>
      <c r="K33" s="41">
        <f>439957.64-10</f>
        <v>439947.64</v>
      </c>
      <c r="L33" s="21">
        <f>89169-63160+3612</f>
        <v>29621</v>
      </c>
      <c r="M33" s="6">
        <f>K33+L33</f>
        <v>469568.64</v>
      </c>
      <c r="N33" s="17">
        <f t="shared" si="4"/>
        <v>1928479.42</v>
      </c>
      <c r="V33"/>
    </row>
    <row r="34" spans="1:22" s="6" customFormat="1" x14ac:dyDescent="0.25">
      <c r="A34" s="4" t="s">
        <v>22</v>
      </c>
      <c r="B34" s="21">
        <v>5054.1499999999996</v>
      </c>
      <c r="C34" s="21"/>
      <c r="D34" s="6">
        <f>B34+C34</f>
        <v>5054.1499999999996</v>
      </c>
      <c r="E34" s="21"/>
      <c r="F34" s="21"/>
      <c r="G34" s="6">
        <f>E34+F34</f>
        <v>0</v>
      </c>
      <c r="H34" s="41"/>
      <c r="I34" s="21"/>
      <c r="J34" s="6">
        <f>H34+I34</f>
        <v>0</v>
      </c>
      <c r="K34" s="41"/>
      <c r="L34" s="21"/>
      <c r="M34" s="6">
        <f>K34+L34</f>
        <v>0</v>
      </c>
      <c r="N34" s="17">
        <f t="shared" si="4"/>
        <v>5054.1499999999996</v>
      </c>
      <c r="V34"/>
    </row>
    <row r="35" spans="1:22" s="6" customFormat="1" x14ac:dyDescent="0.25">
      <c r="A35" s="4" t="s">
        <v>202</v>
      </c>
      <c r="B35" s="21"/>
      <c r="C35" s="21"/>
      <c r="D35" s="6">
        <f>B35+C35</f>
        <v>0</v>
      </c>
      <c r="E35" s="21"/>
      <c r="F35" s="21"/>
      <c r="G35" s="6">
        <f>E35+F35</f>
        <v>0</v>
      </c>
      <c r="H35" s="41"/>
      <c r="I35" s="21"/>
      <c r="J35" s="6">
        <f>H35+I35</f>
        <v>0</v>
      </c>
      <c r="K35" s="41"/>
      <c r="L35" s="21"/>
      <c r="M35" s="6">
        <f>K35+L35</f>
        <v>0</v>
      </c>
      <c r="N35" s="17">
        <f t="shared" si="4"/>
        <v>0</v>
      </c>
      <c r="V35"/>
    </row>
    <row r="36" spans="1:22" s="6" customFormat="1" x14ac:dyDescent="0.25">
      <c r="A36" s="4" t="s">
        <v>23</v>
      </c>
      <c r="B36" s="21">
        <v>3025.48</v>
      </c>
      <c r="C36" s="21"/>
      <c r="D36" s="6">
        <f>B36+C36</f>
        <v>3025.48</v>
      </c>
      <c r="E36" s="21"/>
      <c r="F36" s="21"/>
      <c r="G36" s="6">
        <f>E36+F36</f>
        <v>0</v>
      </c>
      <c r="H36" s="41">
        <v>0.01</v>
      </c>
      <c r="I36" s="21"/>
      <c r="J36" s="6">
        <f>H36+I36</f>
        <v>0.01</v>
      </c>
      <c r="K36" s="41">
        <v>127.84</v>
      </c>
      <c r="L36" s="21"/>
      <c r="M36" s="6">
        <f>K36+L36</f>
        <v>127.84</v>
      </c>
      <c r="N36" s="17">
        <f t="shared" si="4"/>
        <v>3153.3300000000004</v>
      </c>
      <c r="V36"/>
    </row>
    <row r="37" spans="1:22" s="6" customFormat="1" x14ac:dyDescent="0.25">
      <c r="A37" s="4" t="s">
        <v>24</v>
      </c>
      <c r="B37" s="21">
        <f>5000+3420-3420+1570.67</f>
        <v>6570.67</v>
      </c>
      <c r="C37" s="21"/>
      <c r="D37" s="6">
        <f>B37+C37</f>
        <v>6570.67</v>
      </c>
      <c r="E37" s="21"/>
      <c r="F37" s="21"/>
      <c r="G37" s="6">
        <f>E37+F37</f>
        <v>0</v>
      </c>
      <c r="H37" s="41"/>
      <c r="I37" s="21"/>
      <c r="J37" s="6">
        <f>H37+I37</f>
        <v>0</v>
      </c>
      <c r="K37" s="41"/>
      <c r="L37" s="21"/>
      <c r="M37" s="6">
        <f>K37+L37</f>
        <v>0</v>
      </c>
      <c r="N37" s="17">
        <f t="shared" si="4"/>
        <v>6570.67</v>
      </c>
      <c r="V37"/>
    </row>
    <row r="38" spans="1:22" s="6" customFormat="1" x14ac:dyDescent="0.25">
      <c r="A38" s="2" t="s">
        <v>25</v>
      </c>
      <c r="B38" s="6">
        <f t="shared" ref="B38:M38" si="10">SUM(B33:B37)</f>
        <v>2003951.0799999998</v>
      </c>
      <c r="C38" s="6">
        <f t="shared" si="10"/>
        <v>-530390</v>
      </c>
      <c r="D38" s="6">
        <f t="shared" si="10"/>
        <v>1473561.0799999998</v>
      </c>
      <c r="E38" s="6">
        <f t="shared" si="10"/>
        <v>0</v>
      </c>
      <c r="F38" s="6">
        <f t="shared" si="10"/>
        <v>0</v>
      </c>
      <c r="G38" s="6">
        <f t="shared" si="10"/>
        <v>0</v>
      </c>
      <c r="H38" s="48">
        <f t="shared" si="10"/>
        <v>0.01</v>
      </c>
      <c r="I38" s="6">
        <f t="shared" si="10"/>
        <v>0</v>
      </c>
      <c r="J38" s="6">
        <f t="shared" si="10"/>
        <v>0.01</v>
      </c>
      <c r="K38" s="48">
        <f>SUM(K33:K37)</f>
        <v>440075.48000000004</v>
      </c>
      <c r="L38" s="6">
        <f t="shared" si="10"/>
        <v>29621</v>
      </c>
      <c r="M38" s="6">
        <f t="shared" si="10"/>
        <v>469696.48000000004</v>
      </c>
      <c r="N38" s="17">
        <f t="shared" si="4"/>
        <v>1943257.5699999998</v>
      </c>
      <c r="V38"/>
    </row>
    <row r="39" spans="1:22" s="6" customFormat="1" x14ac:dyDescent="0.25">
      <c r="A39"/>
      <c r="H39" s="48"/>
      <c r="K39" s="48"/>
      <c r="N39" s="17">
        <f t="shared" si="4"/>
        <v>0</v>
      </c>
      <c r="V39"/>
    </row>
    <row r="40" spans="1:22" s="6" customFormat="1" x14ac:dyDescent="0.25">
      <c r="A40" s="3" t="s">
        <v>26</v>
      </c>
      <c r="H40" s="48"/>
      <c r="K40" s="48"/>
      <c r="N40" s="17">
        <f t="shared" si="4"/>
        <v>0</v>
      </c>
      <c r="V40"/>
    </row>
    <row r="41" spans="1:22" s="6" customFormat="1" x14ac:dyDescent="0.25">
      <c r="A41" s="4" t="s">
        <v>27</v>
      </c>
      <c r="B41" s="62"/>
      <c r="C41" s="21"/>
      <c r="D41" s="6">
        <f t="shared" ref="D41:D46" si="11">B41+C41</f>
        <v>0</v>
      </c>
      <c r="E41" s="21"/>
      <c r="F41" s="21"/>
      <c r="G41" s="6">
        <f t="shared" ref="G41:G46" si="12">E41+F41</f>
        <v>0</v>
      </c>
      <c r="H41" s="41"/>
      <c r="I41" s="21"/>
      <c r="J41" s="6">
        <f t="shared" ref="J41:J46" si="13">H41+I41</f>
        <v>0</v>
      </c>
      <c r="K41" s="87"/>
      <c r="L41" s="21"/>
      <c r="M41" s="6">
        <f t="shared" ref="M41:M46" si="14">K41+L41</f>
        <v>0</v>
      </c>
      <c r="N41" s="17">
        <f t="shared" ref="N41:N58" si="15">D41+G41+J41+M41</f>
        <v>0</v>
      </c>
      <c r="V41"/>
    </row>
    <row r="42" spans="1:22" s="6" customFormat="1" x14ac:dyDescent="0.25">
      <c r="A42" s="4" t="s">
        <v>28</v>
      </c>
      <c r="B42" s="62"/>
      <c r="C42" s="21"/>
      <c r="D42" s="6">
        <f t="shared" si="11"/>
        <v>0</v>
      </c>
      <c r="E42" s="21"/>
      <c r="F42" s="21"/>
      <c r="G42" s="6">
        <f t="shared" si="12"/>
        <v>0</v>
      </c>
      <c r="H42" s="41"/>
      <c r="I42" s="21"/>
      <c r="J42" s="6">
        <f t="shared" si="13"/>
        <v>0</v>
      </c>
      <c r="K42" s="87"/>
      <c r="L42" s="21"/>
      <c r="M42" s="6">
        <f t="shared" si="14"/>
        <v>0</v>
      </c>
      <c r="N42" s="17">
        <f t="shared" si="15"/>
        <v>0</v>
      </c>
      <c r="V42"/>
    </row>
    <row r="43" spans="1:22" s="6" customFormat="1" x14ac:dyDescent="0.25">
      <c r="A43" s="4" t="s">
        <v>29</v>
      </c>
      <c r="B43" s="62"/>
      <c r="C43" s="21"/>
      <c r="D43" s="6">
        <f t="shared" si="11"/>
        <v>0</v>
      </c>
      <c r="E43" s="21"/>
      <c r="F43" s="21"/>
      <c r="G43" s="6">
        <f t="shared" si="12"/>
        <v>0</v>
      </c>
      <c r="H43" s="41"/>
      <c r="I43" s="21"/>
      <c r="J43" s="6">
        <f t="shared" si="13"/>
        <v>0</v>
      </c>
      <c r="K43" s="87"/>
      <c r="L43" s="21"/>
      <c r="M43" s="6">
        <f t="shared" si="14"/>
        <v>0</v>
      </c>
      <c r="N43" s="17">
        <f t="shared" si="15"/>
        <v>0</v>
      </c>
      <c r="V43"/>
    </row>
    <row r="44" spans="1:22" s="6" customFormat="1" x14ac:dyDescent="0.25">
      <c r="A44" s="4" t="s">
        <v>30</v>
      </c>
      <c r="B44" s="62"/>
      <c r="C44" s="21"/>
      <c r="D44" s="6">
        <f t="shared" si="11"/>
        <v>0</v>
      </c>
      <c r="E44" s="21"/>
      <c r="F44" s="21"/>
      <c r="G44" s="6">
        <f t="shared" si="12"/>
        <v>0</v>
      </c>
      <c r="H44" s="41"/>
      <c r="I44" s="21"/>
      <c r="J44" s="6">
        <f t="shared" si="13"/>
        <v>0</v>
      </c>
      <c r="K44" s="87"/>
      <c r="L44" s="21"/>
      <c r="M44" s="6">
        <f t="shared" si="14"/>
        <v>0</v>
      </c>
      <c r="N44" s="17">
        <f t="shared" si="15"/>
        <v>0</v>
      </c>
      <c r="V44"/>
    </row>
    <row r="45" spans="1:22" s="6" customFormat="1" x14ac:dyDescent="0.25">
      <c r="A45" s="4" t="s">
        <v>31</v>
      </c>
      <c r="B45" s="21">
        <v>1345517.16</v>
      </c>
      <c r="C45" s="21"/>
      <c r="D45" s="6">
        <f t="shared" si="11"/>
        <v>1345517.16</v>
      </c>
      <c r="E45" s="21"/>
      <c r="F45" s="21"/>
      <c r="G45" s="6">
        <f t="shared" si="12"/>
        <v>0</v>
      </c>
      <c r="H45" s="41"/>
      <c r="I45" s="21"/>
      <c r="J45" s="6">
        <f t="shared" si="13"/>
        <v>0</v>
      </c>
      <c r="K45" s="41">
        <v>481093.99</v>
      </c>
      <c r="L45" s="21"/>
      <c r="M45" s="6">
        <f t="shared" si="14"/>
        <v>481093.99</v>
      </c>
      <c r="N45" s="17">
        <f t="shared" si="15"/>
        <v>1826611.15</v>
      </c>
      <c r="V45"/>
    </row>
    <row r="46" spans="1:22" s="6" customFormat="1" x14ac:dyDescent="0.25">
      <c r="A46" s="4" t="s">
        <v>62</v>
      </c>
      <c r="B46" s="62"/>
      <c r="C46" s="21"/>
      <c r="D46" s="6">
        <f t="shared" si="11"/>
        <v>0</v>
      </c>
      <c r="E46" s="21"/>
      <c r="F46" s="21"/>
      <c r="G46" s="6">
        <f t="shared" si="12"/>
        <v>0</v>
      </c>
      <c r="H46" s="41"/>
      <c r="I46" s="21"/>
      <c r="J46" s="6">
        <f t="shared" si="13"/>
        <v>0</v>
      </c>
      <c r="K46" s="87"/>
      <c r="L46" s="21"/>
      <c r="M46" s="6">
        <f t="shared" si="14"/>
        <v>0</v>
      </c>
      <c r="N46" s="17">
        <f t="shared" si="15"/>
        <v>0</v>
      </c>
      <c r="V46"/>
    </row>
    <row r="47" spans="1:22" s="6" customFormat="1" x14ac:dyDescent="0.25">
      <c r="A47" s="2" t="s">
        <v>32</v>
      </c>
      <c r="B47" s="6">
        <f t="shared" ref="B47:M47" si="16">SUM(B41:B46)</f>
        <v>1345517.16</v>
      </c>
      <c r="C47" s="6">
        <f t="shared" si="16"/>
        <v>0</v>
      </c>
      <c r="D47" s="6">
        <f t="shared" si="16"/>
        <v>1345517.16</v>
      </c>
      <c r="E47" s="6">
        <f t="shared" si="16"/>
        <v>0</v>
      </c>
      <c r="F47" s="6">
        <f t="shared" si="16"/>
        <v>0</v>
      </c>
      <c r="G47" s="6">
        <f t="shared" si="16"/>
        <v>0</v>
      </c>
      <c r="H47" s="48">
        <f t="shared" si="16"/>
        <v>0</v>
      </c>
      <c r="I47" s="6">
        <f t="shared" si="16"/>
        <v>0</v>
      </c>
      <c r="J47" s="6">
        <f t="shared" si="16"/>
        <v>0</v>
      </c>
      <c r="K47" s="48">
        <f t="shared" si="16"/>
        <v>481093.99</v>
      </c>
      <c r="L47" s="6">
        <f t="shared" si="16"/>
        <v>0</v>
      </c>
      <c r="M47" s="6">
        <f t="shared" si="16"/>
        <v>481093.99</v>
      </c>
      <c r="N47" s="17">
        <f t="shared" si="15"/>
        <v>1826611.15</v>
      </c>
      <c r="V47"/>
    </row>
    <row r="48" spans="1:22" s="6" customFormat="1" x14ac:dyDescent="0.25">
      <c r="A48"/>
      <c r="H48" s="48"/>
      <c r="K48" s="48"/>
      <c r="N48" s="17">
        <f t="shared" si="15"/>
        <v>0</v>
      </c>
      <c r="V48"/>
    </row>
    <row r="49" spans="1:22" s="6" customFormat="1" x14ac:dyDescent="0.25">
      <c r="A49" s="2" t="s">
        <v>33</v>
      </c>
      <c r="B49" s="6">
        <f>B38-B47</f>
        <v>658433.91999999993</v>
      </c>
      <c r="C49" s="6">
        <f>C38-C47</f>
        <v>-530390</v>
      </c>
      <c r="D49" s="6">
        <f>D38-D47</f>
        <v>128043.91999999993</v>
      </c>
      <c r="E49" s="6">
        <f>E38-E47</f>
        <v>0</v>
      </c>
      <c r="F49" s="6">
        <f>F38-F47</f>
        <v>0</v>
      </c>
      <c r="G49" s="6">
        <f t="shared" ref="G49:N49" si="17">G38-G47</f>
        <v>0</v>
      </c>
      <c r="H49" s="48">
        <f t="shared" si="17"/>
        <v>0.01</v>
      </c>
      <c r="I49" s="6">
        <f t="shared" si="17"/>
        <v>0</v>
      </c>
      <c r="J49" s="6">
        <f t="shared" si="17"/>
        <v>0.01</v>
      </c>
      <c r="K49" s="48">
        <f t="shared" si="17"/>
        <v>-41018.509999999951</v>
      </c>
      <c r="L49" s="6">
        <f t="shared" si="17"/>
        <v>29621</v>
      </c>
      <c r="M49" s="6">
        <f t="shared" si="17"/>
        <v>-11397.509999999951</v>
      </c>
      <c r="N49" s="6">
        <f t="shared" si="17"/>
        <v>116646.41999999993</v>
      </c>
      <c r="V49"/>
    </row>
    <row r="50" spans="1:22" s="6" customFormat="1" x14ac:dyDescent="0.25">
      <c r="A50" s="2"/>
      <c r="H50" s="48"/>
      <c r="K50" s="48"/>
      <c r="V50"/>
    </row>
    <row r="51" spans="1:22" s="6" customFormat="1" x14ac:dyDescent="0.25">
      <c r="A51" s="38" t="s">
        <v>301</v>
      </c>
      <c r="B51" s="21">
        <v>3420</v>
      </c>
      <c r="C51" s="21"/>
      <c r="D51" s="6">
        <f>B51+C51</f>
        <v>3420</v>
      </c>
      <c r="E51" s="21"/>
      <c r="F51" s="21"/>
      <c r="G51" s="6">
        <f>E51+F51</f>
        <v>0</v>
      </c>
      <c r="H51" s="41"/>
      <c r="I51" s="21"/>
      <c r="J51" s="6">
        <f>H51+I51</f>
        <v>0</v>
      </c>
      <c r="K51" s="41"/>
      <c r="L51" s="21"/>
      <c r="M51" s="6">
        <f>K51+L51</f>
        <v>0</v>
      </c>
      <c r="N51" s="17">
        <f t="shared" si="15"/>
        <v>3420</v>
      </c>
      <c r="V51"/>
    </row>
    <row r="52" spans="1:22" s="6" customFormat="1" x14ac:dyDescent="0.25">
      <c r="A52" t="s">
        <v>34</v>
      </c>
      <c r="B52" s="21">
        <v>10704.32</v>
      </c>
      <c r="C52" s="21"/>
      <c r="D52" s="6">
        <f>B52+C52</f>
        <v>10704.32</v>
      </c>
      <c r="E52" s="21"/>
      <c r="F52" s="21"/>
      <c r="G52" s="6">
        <f>E52+F52</f>
        <v>0</v>
      </c>
      <c r="H52" s="41"/>
      <c r="I52" s="21"/>
      <c r="J52" s="6">
        <f>H52+I52</f>
        <v>0</v>
      </c>
      <c r="K52" s="41">
        <v>38496</v>
      </c>
      <c r="L52" s="21"/>
      <c r="M52" s="6">
        <f>K52+L52</f>
        <v>38496</v>
      </c>
      <c r="N52" s="17">
        <f t="shared" si="15"/>
        <v>49200.32</v>
      </c>
      <c r="V52"/>
    </row>
    <row r="53" spans="1:22" s="6" customFormat="1" x14ac:dyDescent="0.25">
      <c r="A53" t="s">
        <v>35</v>
      </c>
      <c r="B53" s="21">
        <v>142169.18</v>
      </c>
      <c r="C53" s="21"/>
      <c r="D53" s="6">
        <f>B53+C53</f>
        <v>142169.18</v>
      </c>
      <c r="E53" s="21"/>
      <c r="F53" s="21"/>
      <c r="G53" s="6">
        <f>E53+F53</f>
        <v>0</v>
      </c>
      <c r="H53" s="41"/>
      <c r="I53" s="21"/>
      <c r="J53" s="6">
        <f>H53+I53</f>
        <v>0</v>
      </c>
      <c r="K53" s="41">
        <v>27097.919999999998</v>
      </c>
      <c r="L53" s="21"/>
      <c r="M53" s="6">
        <f>K53+L53</f>
        <v>27097.919999999998</v>
      </c>
      <c r="N53" s="17">
        <f t="shared" si="15"/>
        <v>169267.09999999998</v>
      </c>
      <c r="V53"/>
    </row>
    <row r="54" spans="1:22" s="6" customFormat="1" x14ac:dyDescent="0.25">
      <c r="A54" s="2" t="s">
        <v>36</v>
      </c>
      <c r="B54" s="6">
        <f>B51+B52-B53</f>
        <v>-128044.85999999999</v>
      </c>
      <c r="C54" s="6">
        <f>C51+C52-C53</f>
        <v>0</v>
      </c>
      <c r="D54" s="6">
        <f>B54+C54</f>
        <v>-128044.85999999999</v>
      </c>
      <c r="E54" s="6">
        <f>E51+E52-E53</f>
        <v>0</v>
      </c>
      <c r="F54" s="6">
        <f>F51+F52-F53</f>
        <v>0</v>
      </c>
      <c r="G54" s="6">
        <f>E54+F54</f>
        <v>0</v>
      </c>
      <c r="H54" s="48">
        <f>H51+H52-H53</f>
        <v>0</v>
      </c>
      <c r="I54" s="6">
        <f>I51+I52-I53</f>
        <v>0</v>
      </c>
      <c r="J54" s="6">
        <f>H54+I54</f>
        <v>0</v>
      </c>
      <c r="K54" s="48">
        <f>K51+K52-K53</f>
        <v>11398.080000000002</v>
      </c>
      <c r="L54" s="6">
        <f>L51+L52-L53</f>
        <v>0</v>
      </c>
      <c r="M54" s="6">
        <f>K54+L54</f>
        <v>11398.080000000002</v>
      </c>
      <c r="N54" s="17">
        <f t="shared" si="15"/>
        <v>-116646.77999999998</v>
      </c>
      <c r="V54"/>
    </row>
    <row r="55" spans="1:22" s="6" customFormat="1" x14ac:dyDescent="0.25">
      <c r="A55"/>
      <c r="B55"/>
      <c r="C55"/>
      <c r="F55"/>
      <c r="H55" s="48"/>
      <c r="I55"/>
      <c r="K55" s="48"/>
      <c r="L55"/>
      <c r="N55" s="17">
        <f>D55+G55+J55+M55</f>
        <v>0</v>
      </c>
      <c r="V55"/>
    </row>
    <row r="56" spans="1:22" s="6" customFormat="1" x14ac:dyDescent="0.25">
      <c r="A56" s="2" t="s">
        <v>37</v>
      </c>
      <c r="B56" s="6">
        <f t="shared" ref="B56:M56" si="18">B49+B54</f>
        <v>530389.05999999994</v>
      </c>
      <c r="C56" s="6">
        <f t="shared" si="18"/>
        <v>-530390</v>
      </c>
      <c r="D56" s="6">
        <f t="shared" si="18"/>
        <v>-0.94000000006053597</v>
      </c>
      <c r="E56" s="6">
        <f t="shared" si="18"/>
        <v>0</v>
      </c>
      <c r="F56" s="6">
        <f t="shared" si="18"/>
        <v>0</v>
      </c>
      <c r="G56" s="6">
        <f t="shared" si="18"/>
        <v>0</v>
      </c>
      <c r="H56" s="48">
        <f t="shared" si="18"/>
        <v>0.01</v>
      </c>
      <c r="I56" s="6">
        <f t="shared" si="18"/>
        <v>0</v>
      </c>
      <c r="J56" s="6">
        <f t="shared" si="18"/>
        <v>0.01</v>
      </c>
      <c r="K56" s="48">
        <f t="shared" si="18"/>
        <v>-29620.429999999949</v>
      </c>
      <c r="L56" s="6">
        <f>L49+L54</f>
        <v>29621</v>
      </c>
      <c r="M56" s="6">
        <f t="shared" si="18"/>
        <v>0.57000000005064066</v>
      </c>
      <c r="N56" s="17">
        <f t="shared" si="15"/>
        <v>-0.36000000000989529</v>
      </c>
      <c r="V56"/>
    </row>
    <row r="57" spans="1:22" s="6" customFormat="1" x14ac:dyDescent="0.25">
      <c r="A57" t="s">
        <v>38</v>
      </c>
      <c r="B57" s="6">
        <f t="shared" ref="B57:M57" si="19">B58-B56</f>
        <v>1.3800000001210719</v>
      </c>
      <c r="C57" s="6">
        <f t="shared" si="19"/>
        <v>0</v>
      </c>
      <c r="D57" s="6">
        <f t="shared" si="19"/>
        <v>1.3800000001210719</v>
      </c>
      <c r="E57" s="6">
        <f t="shared" si="19"/>
        <v>0</v>
      </c>
      <c r="F57" s="6">
        <f t="shared" si="19"/>
        <v>0</v>
      </c>
      <c r="G57" s="6">
        <f t="shared" si="19"/>
        <v>0</v>
      </c>
      <c r="H57" s="48">
        <f t="shared" si="19"/>
        <v>0</v>
      </c>
      <c r="I57" s="6">
        <f t="shared" si="19"/>
        <v>0</v>
      </c>
      <c r="J57" s="6">
        <f t="shared" si="19"/>
        <v>0</v>
      </c>
      <c r="K57" s="48">
        <f t="shared" si="19"/>
        <v>0.43999999994775862</v>
      </c>
      <c r="L57" s="6">
        <f t="shared" si="19"/>
        <v>0</v>
      </c>
      <c r="M57" s="6">
        <f t="shared" si="19"/>
        <v>0.43999999994775862</v>
      </c>
      <c r="N57" s="17">
        <f t="shared" si="15"/>
        <v>1.8200000000688306</v>
      </c>
      <c r="V57"/>
    </row>
    <row r="58" spans="1:22" s="6" customFormat="1" x14ac:dyDescent="0.25">
      <c r="A58" s="2" t="s">
        <v>39</v>
      </c>
      <c r="B58" s="6">
        <f t="shared" ref="B58:M58" si="20">B28</f>
        <v>530390.44000000006</v>
      </c>
      <c r="C58" s="6">
        <f t="shared" si="20"/>
        <v>-530390</v>
      </c>
      <c r="D58" s="6">
        <f t="shared" si="20"/>
        <v>0.44000000006053597</v>
      </c>
      <c r="E58" s="6">
        <f t="shared" si="20"/>
        <v>0</v>
      </c>
      <c r="F58" s="6">
        <f t="shared" si="20"/>
        <v>0</v>
      </c>
      <c r="G58" s="6">
        <f t="shared" si="20"/>
        <v>0</v>
      </c>
      <c r="H58" s="48">
        <f t="shared" si="20"/>
        <v>0.01</v>
      </c>
      <c r="I58" s="6">
        <f t="shared" si="20"/>
        <v>0</v>
      </c>
      <c r="J58" s="6">
        <f t="shared" si="20"/>
        <v>0.01</v>
      </c>
      <c r="K58" s="48">
        <f t="shared" si="20"/>
        <v>-29619.99</v>
      </c>
      <c r="L58" s="6">
        <f t="shared" si="20"/>
        <v>29621</v>
      </c>
      <c r="M58" s="6">
        <f t="shared" si="20"/>
        <v>1.0099999999983993</v>
      </c>
      <c r="N58" s="17">
        <f t="shared" si="15"/>
        <v>1.4600000000589353</v>
      </c>
      <c r="V58"/>
    </row>
  </sheetData>
  <customSheetViews>
    <customSheetView guid="{E68B3865-8D72-47E7-BE32-0FF7EB09E889}" fitToPage="1">
      <pane xSplit="1" ySplit="5" topLeftCell="B36" activePane="bottomRight" state="frozen"/>
      <selection pane="bottomRight" activeCell="A4" sqref="A4"/>
      <pageMargins left="0.7" right="0.7" top="0.75" bottom="0.75" header="0.3" footer="0.3"/>
      <pageSetup scale="58" orientation="landscape" horizontalDpi="1200" r:id="rId1"/>
    </customSheetView>
    <customSheetView guid="{2B2709E2-6DF4-4CC4-88D0-056FB306137C}" fitToPage="1">
      <pane xSplit="1" ySplit="5" topLeftCell="B6" activePane="bottomRight" state="frozen"/>
      <selection pane="bottomRight" activeCell="Q9" sqref="Q9"/>
      <pageMargins left="0.7" right="0.7" top="0.75" bottom="0.75" header="0.3" footer="0.3"/>
      <pageSetup scale="58" orientation="landscape" horizontalDpi="1200" r:id="rId2"/>
    </customSheetView>
    <customSheetView guid="{EC03C3C8-7E57-47C6-8413-F484E8C46A0C}" showPageBreaks="1" fitToPage="1">
      <pane xSplit="1" ySplit="5" topLeftCell="B46" activePane="bottomRight" state="frozen"/>
      <selection pane="bottomRight" activeCell="B53" sqref="B53"/>
      <pageMargins left="0.7" right="0.7" top="0.75" bottom="0.75" header="0.3" footer="0.3"/>
      <pageSetup scale="57" orientation="landscape" horizontalDpi="1200" r:id="rId3"/>
    </customSheetView>
    <customSheetView guid="{A6F79E61-D6A3-44FD-B4A4-4724DF74349B}" showPageBreaks="1" fitToPage="1">
      <pane xSplit="1" ySplit="5" topLeftCell="B6" activePane="bottomRight" state="frozen"/>
      <selection pane="bottomRight" activeCell="L13" sqref="L13"/>
      <pageMargins left="0.7" right="0.7" top="0.75" bottom="0.75" header="0.3" footer="0.3"/>
      <pageSetup scale="58" orientation="landscape" horizontalDpi="1200" r:id="rId4"/>
    </customSheetView>
    <customSheetView guid="{DE6E911D-85BF-467A-AA00-1E84C5349CF7}" showPageBreaks="1" fitToPage="1">
      <pane xSplit="1" ySplit="5" topLeftCell="B21" activePane="bottomRight" state="frozen"/>
      <selection pane="bottomRight" activeCell="L33" sqref="L33"/>
      <pageMargins left="0.7" right="0.7" top="0.75" bottom="0.75" header="0.3" footer="0.3"/>
      <pageSetup scale="57" orientation="landscape" r:id="rId5"/>
    </customSheetView>
  </customSheetViews>
  <pageMargins left="0.7" right="0.7" top="0.75" bottom="0.75" header="0.3" footer="0.3"/>
  <pageSetup scale="58" orientation="landscape" horizontalDpi="1200" r:id="rId6"/>
  <legacyDrawing r:id="rId7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opLeftCell="A31" workbookViewId="0">
      <selection activeCell="A4" sqref="A4"/>
    </sheetView>
  </sheetViews>
  <sheetFormatPr defaultRowHeight="15" outlineLevelCol="1" x14ac:dyDescent="0.25"/>
  <cols>
    <col min="1" max="1" width="31" customWidth="1"/>
    <col min="2" max="2" width="14.28515625" style="48" bestFit="1" customWidth="1" outlineLevel="1"/>
    <col min="3" max="3" width="12.7109375" style="6" customWidth="1" outlineLevel="1"/>
    <col min="4" max="4" width="13.5703125" style="6" bestFit="1" customWidth="1"/>
  </cols>
  <sheetData>
    <row r="1" spans="1:7" ht="23.25" x14ac:dyDescent="0.35">
      <c r="A1" s="5" t="s">
        <v>247</v>
      </c>
    </row>
    <row r="2" spans="1:7" x14ac:dyDescent="0.25">
      <c r="A2" t="s">
        <v>1</v>
      </c>
    </row>
    <row r="3" spans="1:7" x14ac:dyDescent="0.25">
      <c r="A3" s="1">
        <v>43435</v>
      </c>
    </row>
    <row r="4" spans="1:7" x14ac:dyDescent="0.25">
      <c r="A4" s="1"/>
    </row>
    <row r="5" spans="1:7" ht="45" x14ac:dyDescent="0.25">
      <c r="A5" s="1"/>
      <c r="B5" s="49" t="s">
        <v>282</v>
      </c>
      <c r="C5" s="7" t="s">
        <v>47</v>
      </c>
      <c r="D5" s="7" t="s">
        <v>281</v>
      </c>
    </row>
    <row r="7" spans="1:7" x14ac:dyDescent="0.25">
      <c r="A7" s="3" t="s">
        <v>2</v>
      </c>
    </row>
    <row r="8" spans="1:7" x14ac:dyDescent="0.25">
      <c r="A8" s="4" t="s">
        <v>3</v>
      </c>
      <c r="B8" s="41">
        <v>-6321.03</v>
      </c>
      <c r="C8" s="21"/>
      <c r="D8" s="6">
        <f t="shared" ref="D8:D13" si="0">B8+C8</f>
        <v>-6321.03</v>
      </c>
      <c r="G8" s="71"/>
    </row>
    <row r="9" spans="1:7" x14ac:dyDescent="0.25">
      <c r="A9" s="4" t="s">
        <v>189</v>
      </c>
      <c r="B9" s="41"/>
      <c r="C9" s="21"/>
      <c r="D9" s="6">
        <f t="shared" si="0"/>
        <v>0</v>
      </c>
    </row>
    <row r="10" spans="1:7" x14ac:dyDescent="0.25">
      <c r="A10" s="4" t="s">
        <v>4</v>
      </c>
      <c r="B10" s="41">
        <v>9181</v>
      </c>
      <c r="C10" s="21">
        <v>380</v>
      </c>
      <c r="D10" s="6">
        <f t="shared" si="0"/>
        <v>9561</v>
      </c>
    </row>
    <row r="11" spans="1:7" x14ac:dyDescent="0.25">
      <c r="A11" s="4" t="s">
        <v>6</v>
      </c>
      <c r="B11" s="41"/>
      <c r="C11" s="21"/>
      <c r="D11" s="6">
        <f t="shared" si="0"/>
        <v>0</v>
      </c>
    </row>
    <row r="12" spans="1:7" x14ac:dyDescent="0.25">
      <c r="A12" s="4" t="s">
        <v>5</v>
      </c>
      <c r="B12" s="41"/>
      <c r="C12" s="21"/>
      <c r="D12" s="6">
        <f t="shared" si="0"/>
        <v>0</v>
      </c>
    </row>
    <row r="13" spans="1:7" x14ac:dyDescent="0.25">
      <c r="A13" s="4" t="s">
        <v>61</v>
      </c>
      <c r="B13" s="41"/>
      <c r="C13" s="21"/>
      <c r="D13" s="6">
        <f t="shared" si="0"/>
        <v>0</v>
      </c>
    </row>
    <row r="14" spans="1:7" x14ac:dyDescent="0.25">
      <c r="A14" s="2" t="s">
        <v>7</v>
      </c>
      <c r="B14" s="48">
        <f>SUM(B8:B13)</f>
        <v>2859.9700000000003</v>
      </c>
      <c r="C14" s="6">
        <f>SUM(C8:C13)</f>
        <v>380</v>
      </c>
      <c r="D14" s="6">
        <f>SUM(D8:D13)</f>
        <v>3239.9700000000003</v>
      </c>
    </row>
    <row r="16" spans="1:7" x14ac:dyDescent="0.25">
      <c r="A16" s="3" t="s">
        <v>8</v>
      </c>
    </row>
    <row r="17" spans="1:4" x14ac:dyDescent="0.25">
      <c r="A17" s="4" t="s">
        <v>9</v>
      </c>
      <c r="B17" s="41">
        <v>274.43</v>
      </c>
      <c r="C17" s="21"/>
      <c r="D17" s="6">
        <f>B17+C17</f>
        <v>274.43</v>
      </c>
    </row>
    <row r="18" spans="1:4" x14ac:dyDescent="0.25">
      <c r="A18" s="4" t="s">
        <v>10</v>
      </c>
      <c r="B18" s="41">
        <v>2965.22</v>
      </c>
      <c r="C18" s="21"/>
      <c r="D18" s="6">
        <f>B18+C18</f>
        <v>2965.22</v>
      </c>
    </row>
    <row r="19" spans="1:4" x14ac:dyDescent="0.25">
      <c r="A19" s="4" t="s">
        <v>190</v>
      </c>
      <c r="B19" s="41"/>
      <c r="C19" s="21"/>
      <c r="D19" s="6">
        <f>B19+C19</f>
        <v>0</v>
      </c>
    </row>
    <row r="20" spans="1:4" x14ac:dyDescent="0.25">
      <c r="A20" s="4" t="s">
        <v>11</v>
      </c>
      <c r="B20" s="41"/>
      <c r="C20" s="21"/>
      <c r="D20" s="6">
        <f>B20+C20</f>
        <v>0</v>
      </c>
    </row>
    <row r="21" spans="1:4" x14ac:dyDescent="0.25">
      <c r="A21" s="4" t="s">
        <v>12</v>
      </c>
      <c r="B21" s="41"/>
      <c r="C21" s="21"/>
      <c r="D21" s="6">
        <f>B21+C21</f>
        <v>0</v>
      </c>
    </row>
    <row r="22" spans="1:4" x14ac:dyDescent="0.25">
      <c r="A22" s="2" t="s">
        <v>13</v>
      </c>
      <c r="B22" s="48">
        <f>SUM(B17:B21)</f>
        <v>3239.6499999999996</v>
      </c>
      <c r="C22" s="6">
        <f>SUM(C17:C21)</f>
        <v>0</v>
      </c>
      <c r="D22" s="6">
        <f>SUM(D17:D21)</f>
        <v>3239.6499999999996</v>
      </c>
    </row>
    <row r="24" spans="1:4" x14ac:dyDescent="0.25">
      <c r="A24" s="3" t="s">
        <v>14</v>
      </c>
    </row>
    <row r="25" spans="1:4" x14ac:dyDescent="0.25">
      <c r="A25" s="4" t="s">
        <v>15</v>
      </c>
      <c r="B25" s="41"/>
      <c r="C25" s="21"/>
      <c r="D25" s="6">
        <f>B25+C25</f>
        <v>0</v>
      </c>
    </row>
    <row r="26" spans="1:4" x14ac:dyDescent="0.25">
      <c r="A26" s="4" t="s">
        <v>16</v>
      </c>
      <c r="B26" s="41"/>
      <c r="C26" s="21"/>
      <c r="D26" s="6">
        <f>B26+C26</f>
        <v>0</v>
      </c>
    </row>
    <row r="27" spans="1:4" x14ac:dyDescent="0.25">
      <c r="A27" s="4" t="s">
        <v>17</v>
      </c>
      <c r="B27" s="41">
        <v>-379.68</v>
      </c>
      <c r="C27" s="21">
        <v>380</v>
      </c>
      <c r="D27" s="6">
        <f>B27+C27</f>
        <v>0.31999999999999318</v>
      </c>
    </row>
    <row r="28" spans="1:4" x14ac:dyDescent="0.25">
      <c r="A28" s="2" t="s">
        <v>18</v>
      </c>
      <c r="B28" s="48">
        <f>SUM(B25:B27)</f>
        <v>-379.68</v>
      </c>
      <c r="C28" s="6">
        <f>SUM(C25:C27)</f>
        <v>380</v>
      </c>
      <c r="D28" s="6">
        <f>SUM(D25:D27)</f>
        <v>0.31999999999999318</v>
      </c>
    </row>
    <row r="30" spans="1:4" x14ac:dyDescent="0.25">
      <c r="A30" s="2" t="s">
        <v>19</v>
      </c>
      <c r="B30" s="48">
        <f>B22+B28</f>
        <v>2859.97</v>
      </c>
      <c r="C30" s="6">
        <f>C22+C28</f>
        <v>380</v>
      </c>
      <c r="D30" s="6">
        <f>D22+D28</f>
        <v>3239.97</v>
      </c>
    </row>
    <row r="32" spans="1:4" x14ac:dyDescent="0.25">
      <c r="A32" s="3" t="s">
        <v>20</v>
      </c>
    </row>
    <row r="33" spans="1:4" x14ac:dyDescent="0.25">
      <c r="A33" s="4" t="s">
        <v>21</v>
      </c>
      <c r="B33" s="41">
        <v>75513.52</v>
      </c>
      <c r="C33" s="21"/>
      <c r="D33" s="6">
        <f>B33+C33</f>
        <v>75513.52</v>
      </c>
    </row>
    <row r="34" spans="1:4" x14ac:dyDescent="0.25">
      <c r="A34" s="4" t="s">
        <v>22</v>
      </c>
      <c r="B34" s="41"/>
      <c r="C34" s="21"/>
      <c r="D34" s="6">
        <f>B34+C34</f>
        <v>0</v>
      </c>
    </row>
    <row r="35" spans="1:4" x14ac:dyDescent="0.25">
      <c r="A35" s="4" t="s">
        <v>202</v>
      </c>
      <c r="B35" s="41"/>
      <c r="C35" s="21"/>
      <c r="D35" s="6">
        <f>B35+C35</f>
        <v>0</v>
      </c>
    </row>
    <row r="36" spans="1:4" x14ac:dyDescent="0.25">
      <c r="A36" s="4" t="s">
        <v>23</v>
      </c>
      <c r="B36" s="41"/>
      <c r="C36" s="21"/>
      <c r="D36" s="6">
        <f>B36+C36</f>
        <v>0</v>
      </c>
    </row>
    <row r="37" spans="1:4" x14ac:dyDescent="0.25">
      <c r="A37" s="4" t="s">
        <v>24</v>
      </c>
      <c r="B37" s="41"/>
      <c r="C37" s="21"/>
      <c r="D37" s="6">
        <f>B37+C37</f>
        <v>0</v>
      </c>
    </row>
    <row r="38" spans="1:4" x14ac:dyDescent="0.25">
      <c r="A38" s="2" t="s">
        <v>25</v>
      </c>
      <c r="B38" s="48">
        <f>SUM(B33:B37)</f>
        <v>75513.52</v>
      </c>
      <c r="C38" s="6">
        <f>SUM(C33:C37)</f>
        <v>0</v>
      </c>
      <c r="D38" s="6">
        <f>SUM(D33:D37)</f>
        <v>75513.52</v>
      </c>
    </row>
    <row r="40" spans="1:4" x14ac:dyDescent="0.25">
      <c r="A40" s="3" t="s">
        <v>26</v>
      </c>
    </row>
    <row r="41" spans="1:4" x14ac:dyDescent="0.25">
      <c r="A41" s="4" t="s">
        <v>27</v>
      </c>
      <c r="B41" s="87"/>
      <c r="C41" s="21"/>
      <c r="D41" s="6">
        <f t="shared" ref="D41:D46" si="1">B41+C41</f>
        <v>0</v>
      </c>
    </row>
    <row r="42" spans="1:4" x14ac:dyDescent="0.25">
      <c r="A42" s="4" t="s">
        <v>28</v>
      </c>
      <c r="B42" s="87"/>
      <c r="C42" s="21"/>
      <c r="D42" s="6">
        <f t="shared" si="1"/>
        <v>0</v>
      </c>
    </row>
    <row r="43" spans="1:4" x14ac:dyDescent="0.25">
      <c r="A43" s="4" t="s">
        <v>29</v>
      </c>
      <c r="B43" s="87"/>
      <c r="C43" s="21"/>
      <c r="D43" s="6">
        <f t="shared" si="1"/>
        <v>0</v>
      </c>
    </row>
    <row r="44" spans="1:4" x14ac:dyDescent="0.25">
      <c r="A44" s="4" t="s">
        <v>30</v>
      </c>
      <c r="B44" s="87"/>
      <c r="C44" s="21"/>
      <c r="D44" s="6">
        <f t="shared" si="1"/>
        <v>0</v>
      </c>
    </row>
    <row r="45" spans="1:4" x14ac:dyDescent="0.25">
      <c r="A45" s="4" t="s">
        <v>31</v>
      </c>
      <c r="B45" s="41">
        <v>75893.53</v>
      </c>
      <c r="C45" s="21">
        <v>-380</v>
      </c>
      <c r="D45" s="6">
        <f t="shared" si="1"/>
        <v>75513.53</v>
      </c>
    </row>
    <row r="46" spans="1:4" x14ac:dyDescent="0.25">
      <c r="A46" s="4" t="s">
        <v>62</v>
      </c>
      <c r="B46" s="87"/>
      <c r="C46" s="21"/>
      <c r="D46" s="6">
        <f t="shared" si="1"/>
        <v>0</v>
      </c>
    </row>
    <row r="47" spans="1:4" x14ac:dyDescent="0.25">
      <c r="A47" s="2" t="s">
        <v>32</v>
      </c>
      <c r="B47" s="48">
        <f>SUM(B41:B46)</f>
        <v>75893.53</v>
      </c>
      <c r="C47" s="6">
        <f>SUM(C41:C46)</f>
        <v>-380</v>
      </c>
      <c r="D47" s="6">
        <f>SUM(D41:D46)</f>
        <v>75513.53</v>
      </c>
    </row>
    <row r="49" spans="1:4" x14ac:dyDescent="0.25">
      <c r="A49" s="2" t="s">
        <v>33</v>
      </c>
      <c r="B49" s="48">
        <f>B38-B47</f>
        <v>-380.00999999999476</v>
      </c>
      <c r="C49" s="48">
        <f>C38-C47</f>
        <v>380</v>
      </c>
      <c r="D49" s="6">
        <f>D38-D47</f>
        <v>-9.9999999947613105E-3</v>
      </c>
    </row>
    <row r="50" spans="1:4" x14ac:dyDescent="0.25">
      <c r="A50" s="2"/>
    </row>
    <row r="51" spans="1:4" x14ac:dyDescent="0.25">
      <c r="A51" s="38" t="s">
        <v>300</v>
      </c>
      <c r="B51" s="41"/>
      <c r="C51" s="21"/>
      <c r="D51" s="6">
        <f>B51+C51</f>
        <v>0</v>
      </c>
    </row>
    <row r="52" spans="1:4" x14ac:dyDescent="0.25">
      <c r="A52" t="s">
        <v>34</v>
      </c>
      <c r="B52" s="41"/>
      <c r="C52" s="21"/>
      <c r="D52" s="6">
        <f>B52+C52</f>
        <v>0</v>
      </c>
    </row>
    <row r="53" spans="1:4" x14ac:dyDescent="0.25">
      <c r="A53" t="s">
        <v>35</v>
      </c>
      <c r="B53" s="41"/>
      <c r="C53" s="21"/>
      <c r="D53" s="6">
        <f>B53+C53</f>
        <v>0</v>
      </c>
    </row>
    <row r="54" spans="1:4" x14ac:dyDescent="0.25">
      <c r="A54" s="2" t="s">
        <v>36</v>
      </c>
      <c r="B54" s="48">
        <f>B51+B52-B53</f>
        <v>0</v>
      </c>
      <c r="C54" s="6">
        <f>C51+C52-C53</f>
        <v>0</v>
      </c>
      <c r="D54" s="6">
        <f>D52-D53</f>
        <v>0</v>
      </c>
    </row>
    <row r="55" spans="1:4" x14ac:dyDescent="0.25">
      <c r="C55"/>
    </row>
    <row r="56" spans="1:4" x14ac:dyDescent="0.25">
      <c r="A56" s="2" t="s">
        <v>37</v>
      </c>
      <c r="B56" s="48">
        <f>B49+B54</f>
        <v>-380.00999999999476</v>
      </c>
      <c r="C56" s="6">
        <f>C49+C54</f>
        <v>380</v>
      </c>
      <c r="D56" s="6">
        <f>D49+D54</f>
        <v>-9.9999999947613105E-3</v>
      </c>
    </row>
    <row r="57" spans="1:4" x14ac:dyDescent="0.25">
      <c r="A57" t="s">
        <v>38</v>
      </c>
      <c r="B57" s="48">
        <f>B58-B56</f>
        <v>0.32999999999475449</v>
      </c>
      <c r="C57" s="6">
        <f>C58-C56</f>
        <v>0</v>
      </c>
      <c r="D57" s="6">
        <f>D58-D56</f>
        <v>0.32999999999475449</v>
      </c>
    </row>
    <row r="58" spans="1:4" x14ac:dyDescent="0.25">
      <c r="A58" s="2" t="s">
        <v>39</v>
      </c>
      <c r="B58" s="48">
        <f>B28</f>
        <v>-379.68</v>
      </c>
      <c r="C58" s="6">
        <f>C28</f>
        <v>380</v>
      </c>
      <c r="D58" s="6">
        <f>D28</f>
        <v>0.31999999999999318</v>
      </c>
    </row>
  </sheetData>
  <customSheetViews>
    <customSheetView guid="{E68B3865-8D72-47E7-BE32-0FF7EB09E889}" fitToPage="1" topLeftCell="A31">
      <selection activeCell="A4" sqref="A4"/>
      <pageMargins left="0.75" right="0.75" top="1" bottom="1" header="0.5" footer="0.5"/>
      <pageSetup scale="76" orientation="portrait" r:id="rId1"/>
      <headerFooter alignWithMargins="0"/>
    </customSheetView>
    <customSheetView guid="{2B2709E2-6DF4-4CC4-88D0-056FB306137C}" fitToPage="1">
      <selection activeCell="B46" sqref="B46"/>
      <pageMargins left="0.75" right="0.75" top="1" bottom="1" header="0.5" footer="0.5"/>
      <pageSetup scale="76" orientation="portrait" r:id="rId2"/>
      <headerFooter alignWithMargins="0"/>
    </customSheetView>
    <customSheetView guid="{EC03C3C8-7E57-47C6-8413-F484E8C46A0C}" showPageBreaks="1" fitToPage="1" topLeftCell="A34">
      <selection activeCell="A50" sqref="A50"/>
      <pageMargins left="0.75" right="0.75" top="1" bottom="1" header="0.5" footer="0.5"/>
      <pageSetup scale="74" orientation="portrait" r:id="rId3"/>
      <headerFooter alignWithMargins="0"/>
    </customSheetView>
    <customSheetView guid="{A6F79E61-D6A3-44FD-B4A4-4724DF74349B}" showPageBreaks="1" fitToPage="1">
      <selection activeCell="J30" sqref="J30"/>
      <pageMargins left="0.75" right="0.75" top="1" bottom="1" header="0.5" footer="0.5"/>
      <pageSetup scale="74" orientation="portrait" r:id="rId4"/>
      <headerFooter alignWithMargins="0"/>
    </customSheetView>
    <customSheetView guid="{DE6E911D-85BF-467A-AA00-1E84C5349CF7}" showPageBreaks="1" fitToPage="1">
      <selection activeCell="C11" sqref="C11"/>
      <pageMargins left="0.75" right="0.75" top="1" bottom="1" header="0.5" footer="0.5"/>
      <pageSetup scale="73" orientation="portrait" r:id="rId5"/>
      <headerFooter alignWithMargins="0"/>
    </customSheetView>
  </customSheetViews>
  <pageMargins left="0.75" right="0.75" top="1" bottom="1" header="0.5" footer="0.5"/>
  <pageSetup scale="76" orientation="portrait" r:id="rId6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workbookViewId="0">
      <pane xSplit="1" ySplit="5" topLeftCell="B54" activePane="bottomRight" state="frozen"/>
      <selection pane="topRight" activeCell="B1" sqref="B1"/>
      <selection pane="bottomLeft" activeCell="A6" sqref="A6"/>
      <selection pane="bottomRight" activeCell="A4" sqref="A4"/>
    </sheetView>
  </sheetViews>
  <sheetFormatPr defaultRowHeight="15" outlineLevelCol="1" x14ac:dyDescent="0.25"/>
  <cols>
    <col min="1" max="1" width="31" customWidth="1"/>
    <col min="2" max="3" width="12.7109375" style="6" customWidth="1" outlineLevel="1"/>
    <col min="4" max="4" width="12.7109375" style="6" customWidth="1"/>
    <col min="5" max="5" width="13.42578125" style="48" bestFit="1" customWidth="1" outlineLevel="1"/>
    <col min="6" max="6" width="12.7109375" style="6" customWidth="1" outlineLevel="1"/>
    <col min="7" max="7" width="13" style="6" customWidth="1"/>
    <col min="8" max="8" width="11.85546875" style="6" bestFit="1" customWidth="1"/>
    <col min="9" max="9" width="12.7109375" style="6" bestFit="1" customWidth="1"/>
    <col min="10" max="11" width="11.85546875" style="6" customWidth="1"/>
    <col min="12" max="12" width="14" style="6" customWidth="1"/>
    <col min="13" max="14" width="11.140625" style="6" bestFit="1" customWidth="1"/>
    <col min="15" max="15" width="9.140625" style="6"/>
    <col min="16" max="16" width="13.5703125" style="6" bestFit="1" customWidth="1"/>
    <col min="17" max="17" width="12.7109375" bestFit="1" customWidth="1"/>
  </cols>
  <sheetData>
    <row r="1" spans="1:16" ht="23.25" x14ac:dyDescent="0.35">
      <c r="A1" s="5" t="s">
        <v>56</v>
      </c>
    </row>
    <row r="2" spans="1:16" x14ac:dyDescent="0.25">
      <c r="A2" t="s">
        <v>1</v>
      </c>
    </row>
    <row r="3" spans="1:16" x14ac:dyDescent="0.25">
      <c r="A3" s="1">
        <v>43435</v>
      </c>
    </row>
    <row r="4" spans="1:16" x14ac:dyDescent="0.25">
      <c r="A4" s="1"/>
    </row>
    <row r="5" spans="1:16" ht="45" x14ac:dyDescent="0.25">
      <c r="A5" s="1"/>
      <c r="B5" s="7" t="s">
        <v>57</v>
      </c>
      <c r="C5" s="7" t="s">
        <v>236</v>
      </c>
      <c r="D5" s="7" t="s">
        <v>237</v>
      </c>
      <c r="E5" s="49" t="s">
        <v>58</v>
      </c>
      <c r="F5" s="7" t="s">
        <v>238</v>
      </c>
      <c r="G5" s="7" t="s">
        <v>237</v>
      </c>
      <c r="H5" s="7" t="s">
        <v>59</v>
      </c>
      <c r="I5" s="18" t="s">
        <v>60</v>
      </c>
      <c r="J5" s="7"/>
      <c r="K5" s="7"/>
      <c r="L5" s="7"/>
      <c r="M5" s="7"/>
      <c r="N5" s="7"/>
      <c r="O5" s="7"/>
      <c r="P5" s="7"/>
    </row>
    <row r="6" spans="1:16" x14ac:dyDescent="0.25">
      <c r="I6" s="17"/>
    </row>
    <row r="7" spans="1:16" x14ac:dyDescent="0.25">
      <c r="A7" s="3" t="s">
        <v>2</v>
      </c>
      <c r="I7" s="17"/>
    </row>
    <row r="8" spans="1:16" x14ac:dyDescent="0.25">
      <c r="A8" s="4" t="s">
        <v>3</v>
      </c>
      <c r="B8" s="21">
        <v>80768.77</v>
      </c>
      <c r="C8" s="21"/>
      <c r="D8" s="6">
        <f>SUM(B8:C8)</f>
        <v>80768.77</v>
      </c>
      <c r="E8" s="41">
        <v>-498270.56</v>
      </c>
      <c r="F8" s="21"/>
      <c r="G8" s="82">
        <f>SUM(E8:F8)</f>
        <v>-498270.56</v>
      </c>
      <c r="H8" s="21">
        <v>38379.24</v>
      </c>
      <c r="I8" s="17">
        <f>SUM(D8+G8+H8)</f>
        <v>-379122.55</v>
      </c>
    </row>
    <row r="9" spans="1:16" x14ac:dyDescent="0.25">
      <c r="A9" s="4" t="s">
        <v>4</v>
      </c>
      <c r="B9" s="21">
        <v>11556.06</v>
      </c>
      <c r="C9" s="21"/>
      <c r="D9" s="6">
        <f t="shared" ref="D9:D70" si="0">SUM(B9:C9)</f>
        <v>11556.06</v>
      </c>
      <c r="E9" s="56">
        <v>372132.4</v>
      </c>
      <c r="F9" s="21"/>
      <c r="G9" s="6">
        <f t="shared" ref="G9:G70" si="1">SUM(E9:F9)</f>
        <v>372132.4</v>
      </c>
      <c r="H9" s="21"/>
      <c r="I9" s="17">
        <f t="shared" ref="I9:I70" si="2">SUM(D9+G9+H9)</f>
        <v>383688.46</v>
      </c>
    </row>
    <row r="10" spans="1:16" x14ac:dyDescent="0.25">
      <c r="A10" s="4" t="s">
        <v>6</v>
      </c>
      <c r="B10" s="21"/>
      <c r="C10" s="21"/>
      <c r="D10" s="6">
        <f t="shared" si="0"/>
        <v>0</v>
      </c>
      <c r="E10" s="41"/>
      <c r="F10" s="21"/>
      <c r="G10" s="6">
        <f t="shared" si="1"/>
        <v>0</v>
      </c>
      <c r="H10" s="21"/>
      <c r="I10" s="17">
        <f t="shared" si="2"/>
        <v>0</v>
      </c>
    </row>
    <row r="11" spans="1:16" x14ac:dyDescent="0.25">
      <c r="A11" s="4" t="s">
        <v>5</v>
      </c>
      <c r="B11" s="21"/>
      <c r="C11" s="21"/>
      <c r="D11" s="6">
        <f t="shared" si="0"/>
        <v>0</v>
      </c>
      <c r="E11" s="41"/>
      <c r="F11" s="21"/>
      <c r="G11" s="6">
        <f t="shared" si="1"/>
        <v>0</v>
      </c>
      <c r="H11" s="21"/>
      <c r="I11" s="17">
        <f t="shared" si="2"/>
        <v>0</v>
      </c>
    </row>
    <row r="12" spans="1:16" x14ac:dyDescent="0.25">
      <c r="A12" s="4" t="s">
        <v>61</v>
      </c>
      <c r="B12" s="21">
        <v>52043.19</v>
      </c>
      <c r="C12" s="21"/>
      <c r="D12" s="6">
        <f t="shared" si="0"/>
        <v>52043.19</v>
      </c>
      <c r="E12" s="41"/>
      <c r="F12" s="21"/>
      <c r="G12" s="6">
        <f t="shared" si="1"/>
        <v>0</v>
      </c>
      <c r="H12" s="21"/>
      <c r="I12" s="17">
        <f t="shared" si="2"/>
        <v>52043.19</v>
      </c>
    </row>
    <row r="13" spans="1:16" x14ac:dyDescent="0.25">
      <c r="A13" s="2" t="s">
        <v>7</v>
      </c>
      <c r="B13" s="6">
        <f>SUM(B8:B12)</f>
        <v>144368.02000000002</v>
      </c>
      <c r="C13" s="6">
        <f>SUM(C8:C12)</f>
        <v>0</v>
      </c>
      <c r="D13" s="6">
        <f t="shared" si="0"/>
        <v>144368.02000000002</v>
      </c>
      <c r="E13" s="48">
        <f>SUM(E8:E12)</f>
        <v>-126138.15999999997</v>
      </c>
      <c r="F13" s="6">
        <f>SUM(F8:F12)</f>
        <v>0</v>
      </c>
      <c r="G13" s="6">
        <f t="shared" si="1"/>
        <v>-126138.15999999997</v>
      </c>
      <c r="H13" s="6">
        <f>SUM(H8:H12)</f>
        <v>38379.24</v>
      </c>
      <c r="I13" s="17">
        <f t="shared" si="2"/>
        <v>56609.100000000042</v>
      </c>
    </row>
    <row r="14" spans="1:16" x14ac:dyDescent="0.25">
      <c r="D14" s="6">
        <f t="shared" si="0"/>
        <v>0</v>
      </c>
      <c r="G14" s="6">
        <f t="shared" si="1"/>
        <v>0</v>
      </c>
      <c r="I14" s="17">
        <f t="shared" si="2"/>
        <v>0</v>
      </c>
    </row>
    <row r="15" spans="1:16" x14ac:dyDescent="0.25">
      <c r="A15" s="3" t="s">
        <v>8</v>
      </c>
      <c r="D15" s="6">
        <f t="shared" si="0"/>
        <v>0</v>
      </c>
      <c r="G15" s="6">
        <f t="shared" si="1"/>
        <v>0</v>
      </c>
      <c r="I15" s="17">
        <f t="shared" si="2"/>
        <v>0</v>
      </c>
    </row>
    <row r="16" spans="1:16" x14ac:dyDescent="0.25">
      <c r="A16" s="4" t="s">
        <v>9</v>
      </c>
      <c r="B16" s="21">
        <v>37798.51</v>
      </c>
      <c r="C16" s="21"/>
      <c r="D16" s="6">
        <f t="shared" si="0"/>
        <v>37798.51</v>
      </c>
      <c r="E16" s="41">
        <v>10122.120000000001</v>
      </c>
      <c r="F16" s="21"/>
      <c r="G16" s="6">
        <f t="shared" si="1"/>
        <v>10122.120000000001</v>
      </c>
      <c r="H16" s="21"/>
      <c r="I16" s="17">
        <f t="shared" si="2"/>
        <v>47920.630000000005</v>
      </c>
    </row>
    <row r="17" spans="1:9" x14ac:dyDescent="0.25">
      <c r="A17" s="4" t="s">
        <v>10</v>
      </c>
      <c r="B17" s="21"/>
      <c r="C17" s="21"/>
      <c r="D17" s="6">
        <f t="shared" si="0"/>
        <v>0</v>
      </c>
      <c r="E17" s="41"/>
      <c r="F17" s="21"/>
      <c r="G17" s="6">
        <f t="shared" si="1"/>
        <v>0</v>
      </c>
      <c r="H17" s="21"/>
      <c r="I17" s="17">
        <f t="shared" si="2"/>
        <v>0</v>
      </c>
    </row>
    <row r="18" spans="1:9" x14ac:dyDescent="0.25">
      <c r="A18" s="4" t="s">
        <v>11</v>
      </c>
      <c r="B18" s="21"/>
      <c r="C18" s="21"/>
      <c r="D18" s="6">
        <f t="shared" si="0"/>
        <v>0</v>
      </c>
      <c r="E18" s="41"/>
      <c r="F18" s="21"/>
      <c r="G18" s="6">
        <f t="shared" si="1"/>
        <v>0</v>
      </c>
      <c r="H18" s="21"/>
      <c r="I18" s="17">
        <f t="shared" si="2"/>
        <v>0</v>
      </c>
    </row>
    <row r="19" spans="1:9" x14ac:dyDescent="0.25">
      <c r="A19" s="4" t="s">
        <v>12</v>
      </c>
      <c r="B19" s="21"/>
      <c r="C19" s="21"/>
      <c r="D19" s="6">
        <f t="shared" si="0"/>
        <v>0</v>
      </c>
      <c r="E19" s="41"/>
      <c r="F19" s="21"/>
      <c r="G19" s="6">
        <f t="shared" si="1"/>
        <v>0</v>
      </c>
      <c r="H19" s="21"/>
      <c r="I19" s="17">
        <f t="shared" si="2"/>
        <v>0</v>
      </c>
    </row>
    <row r="20" spans="1:9" x14ac:dyDescent="0.25">
      <c r="A20" s="2" t="s">
        <v>13</v>
      </c>
      <c r="B20" s="6">
        <f>SUM(B16:B19)</f>
        <v>37798.51</v>
      </c>
      <c r="C20" s="6">
        <f>SUM(C16:C19)</f>
        <v>0</v>
      </c>
      <c r="D20" s="6">
        <f t="shared" si="0"/>
        <v>37798.51</v>
      </c>
      <c r="E20" s="48">
        <f>SUM(E16:E19)</f>
        <v>10122.120000000001</v>
      </c>
      <c r="F20" s="6">
        <f>SUM(F16:F19)</f>
        <v>0</v>
      </c>
      <c r="G20" s="6">
        <f t="shared" si="1"/>
        <v>10122.120000000001</v>
      </c>
      <c r="H20" s="6">
        <f>SUM(H16:H19)</f>
        <v>0</v>
      </c>
      <c r="I20" s="17">
        <f t="shared" si="2"/>
        <v>47920.630000000005</v>
      </c>
    </row>
    <row r="21" spans="1:9" x14ac:dyDescent="0.25">
      <c r="D21" s="6">
        <f t="shared" si="0"/>
        <v>0</v>
      </c>
      <c r="G21" s="6">
        <f t="shared" si="1"/>
        <v>0</v>
      </c>
      <c r="I21" s="17">
        <f t="shared" si="2"/>
        <v>0</v>
      </c>
    </row>
    <row r="22" spans="1:9" x14ac:dyDescent="0.25">
      <c r="A22" s="3" t="s">
        <v>14</v>
      </c>
      <c r="D22" s="6">
        <f t="shared" si="0"/>
        <v>0</v>
      </c>
      <c r="G22" s="6">
        <f t="shared" si="1"/>
        <v>0</v>
      </c>
      <c r="I22" s="17">
        <f t="shared" si="2"/>
        <v>0</v>
      </c>
    </row>
    <row r="23" spans="1:9" x14ac:dyDescent="0.25">
      <c r="A23" s="91" t="s">
        <v>371</v>
      </c>
      <c r="B23" s="62"/>
      <c r="C23" s="62"/>
      <c r="D23" s="6">
        <f t="shared" si="0"/>
        <v>0</v>
      </c>
      <c r="E23" s="87"/>
      <c r="F23" s="62"/>
      <c r="G23" s="6">
        <f t="shared" si="1"/>
        <v>0</v>
      </c>
      <c r="H23" s="62"/>
      <c r="I23" s="17">
        <f t="shared" si="2"/>
        <v>0</v>
      </c>
    </row>
    <row r="24" spans="1:9" x14ac:dyDescent="0.25">
      <c r="A24" s="90" t="s">
        <v>370</v>
      </c>
      <c r="B24" s="62"/>
      <c r="C24" s="62"/>
      <c r="D24" s="6">
        <f t="shared" si="0"/>
        <v>0</v>
      </c>
      <c r="E24" s="87"/>
      <c r="F24" s="62"/>
      <c r="G24" s="6">
        <f t="shared" si="1"/>
        <v>0</v>
      </c>
      <c r="H24" s="62"/>
      <c r="I24" s="17">
        <f t="shared" si="2"/>
        <v>0</v>
      </c>
    </row>
    <row r="25" spans="1:9" x14ac:dyDescent="0.25">
      <c r="A25" s="90" t="s">
        <v>31</v>
      </c>
      <c r="B25" s="62"/>
      <c r="C25" s="62"/>
      <c r="D25" s="6">
        <f t="shared" si="0"/>
        <v>0</v>
      </c>
      <c r="E25" s="87"/>
      <c r="F25" s="62"/>
      <c r="G25" s="6">
        <f t="shared" si="1"/>
        <v>0</v>
      </c>
      <c r="H25" s="62"/>
      <c r="I25" s="17">
        <f t="shared" si="2"/>
        <v>0</v>
      </c>
    </row>
    <row r="26" spans="1:9" x14ac:dyDescent="0.25">
      <c r="A26" s="90" t="s">
        <v>334</v>
      </c>
      <c r="B26" s="62"/>
      <c r="C26" s="62"/>
      <c r="D26" s="6">
        <f t="shared" si="0"/>
        <v>0</v>
      </c>
      <c r="E26" s="87"/>
      <c r="F26" s="62"/>
      <c r="G26" s="6">
        <f t="shared" si="1"/>
        <v>0</v>
      </c>
      <c r="H26" s="62"/>
      <c r="I26" s="17">
        <f t="shared" si="2"/>
        <v>0</v>
      </c>
    </row>
    <row r="27" spans="1:9" x14ac:dyDescent="0.25">
      <c r="A27" s="90" t="s">
        <v>335</v>
      </c>
      <c r="B27" s="62"/>
      <c r="C27" s="62"/>
      <c r="D27" s="6">
        <f t="shared" si="0"/>
        <v>0</v>
      </c>
      <c r="E27" s="87"/>
      <c r="F27" s="62"/>
      <c r="G27" s="6">
        <f t="shared" si="1"/>
        <v>0</v>
      </c>
      <c r="H27" s="62"/>
      <c r="I27" s="17">
        <f t="shared" si="2"/>
        <v>0</v>
      </c>
    </row>
    <row r="28" spans="1:9" x14ac:dyDescent="0.25">
      <c r="A28" s="90" t="s">
        <v>336</v>
      </c>
      <c r="B28" s="62"/>
      <c r="C28" s="62"/>
      <c r="D28" s="6">
        <f t="shared" si="0"/>
        <v>0</v>
      </c>
      <c r="E28" s="87"/>
      <c r="F28" s="62"/>
      <c r="G28" s="6">
        <f t="shared" si="1"/>
        <v>0</v>
      </c>
      <c r="H28" s="62"/>
      <c r="I28" s="17">
        <f t="shared" si="2"/>
        <v>0</v>
      </c>
    </row>
    <row r="29" spans="1:9" x14ac:dyDescent="0.25">
      <c r="A29" s="90" t="s">
        <v>337</v>
      </c>
      <c r="B29" s="62"/>
      <c r="C29" s="62"/>
      <c r="D29" s="6">
        <f t="shared" si="0"/>
        <v>0</v>
      </c>
      <c r="E29" s="87"/>
      <c r="F29" s="62"/>
      <c r="G29" s="6">
        <f t="shared" si="1"/>
        <v>0</v>
      </c>
      <c r="H29" s="62"/>
      <c r="I29" s="17">
        <f t="shared" si="2"/>
        <v>0</v>
      </c>
    </row>
    <row r="30" spans="1:9" x14ac:dyDescent="0.25">
      <c r="A30" s="90" t="s">
        <v>338</v>
      </c>
      <c r="B30" s="62"/>
      <c r="C30" s="62"/>
      <c r="D30" s="6">
        <f t="shared" si="0"/>
        <v>0</v>
      </c>
      <c r="E30" s="87"/>
      <c r="F30" s="62"/>
      <c r="G30" s="6">
        <f t="shared" si="1"/>
        <v>0</v>
      </c>
      <c r="H30" s="62"/>
      <c r="I30" s="17">
        <f t="shared" si="2"/>
        <v>0</v>
      </c>
    </row>
    <row r="31" spans="1:9" x14ac:dyDescent="0.25">
      <c r="A31" s="90" t="s">
        <v>363</v>
      </c>
      <c r="B31" s="62"/>
      <c r="C31" s="62"/>
      <c r="D31" s="6">
        <f t="shared" si="0"/>
        <v>0</v>
      </c>
      <c r="E31" s="87"/>
      <c r="F31" s="62"/>
      <c r="G31" s="6">
        <f t="shared" si="1"/>
        <v>0</v>
      </c>
      <c r="H31" s="62"/>
      <c r="I31" s="17">
        <f t="shared" si="2"/>
        <v>0</v>
      </c>
    </row>
    <row r="32" spans="1:9" x14ac:dyDescent="0.25">
      <c r="A32" s="90" t="s">
        <v>340</v>
      </c>
      <c r="B32" s="62"/>
      <c r="C32" s="62"/>
      <c r="D32" s="6">
        <f t="shared" si="0"/>
        <v>0</v>
      </c>
      <c r="E32" s="87"/>
      <c r="F32" s="62"/>
      <c r="G32" s="6">
        <f t="shared" si="1"/>
        <v>0</v>
      </c>
      <c r="H32" s="62"/>
      <c r="I32" s="17">
        <f t="shared" si="2"/>
        <v>0</v>
      </c>
    </row>
    <row r="33" spans="1:9" x14ac:dyDescent="0.25">
      <c r="A33" s="90" t="s">
        <v>364</v>
      </c>
      <c r="B33" s="62"/>
      <c r="C33" s="62"/>
      <c r="D33" s="6">
        <f t="shared" si="0"/>
        <v>0</v>
      </c>
      <c r="E33" s="87"/>
      <c r="F33" s="62"/>
      <c r="G33" s="6">
        <f t="shared" si="1"/>
        <v>0</v>
      </c>
      <c r="H33" s="62"/>
      <c r="I33" s="17">
        <f t="shared" si="2"/>
        <v>0</v>
      </c>
    </row>
    <row r="34" spans="1:9" x14ac:dyDescent="0.25">
      <c r="A34" s="90" t="s">
        <v>365</v>
      </c>
      <c r="B34" s="62"/>
      <c r="C34" s="62"/>
      <c r="D34" s="6">
        <f t="shared" si="0"/>
        <v>0</v>
      </c>
      <c r="E34" s="87"/>
      <c r="F34" s="62"/>
      <c r="G34" s="6">
        <f t="shared" si="1"/>
        <v>0</v>
      </c>
      <c r="H34" s="62"/>
      <c r="I34" s="17">
        <f t="shared" si="2"/>
        <v>0</v>
      </c>
    </row>
    <row r="35" spans="1:9" x14ac:dyDescent="0.25">
      <c r="A35" s="91" t="s">
        <v>366</v>
      </c>
      <c r="B35" s="62"/>
      <c r="C35" s="62"/>
      <c r="D35" s="6">
        <f t="shared" si="0"/>
        <v>0</v>
      </c>
      <c r="E35" s="87"/>
      <c r="F35" s="62"/>
      <c r="G35" s="6">
        <f t="shared" si="1"/>
        <v>0</v>
      </c>
      <c r="H35" s="62"/>
      <c r="I35" s="17">
        <f t="shared" si="2"/>
        <v>0</v>
      </c>
    </row>
    <row r="36" spans="1:9" x14ac:dyDescent="0.25">
      <c r="A36" s="90" t="s">
        <v>372</v>
      </c>
      <c r="B36" s="62"/>
      <c r="C36" s="62"/>
      <c r="D36" s="6">
        <f t="shared" si="0"/>
        <v>0</v>
      </c>
      <c r="E36" s="87"/>
      <c r="F36" s="62"/>
      <c r="G36" s="6">
        <f t="shared" si="1"/>
        <v>0</v>
      </c>
      <c r="H36" s="62"/>
      <c r="I36" s="17">
        <f t="shared" si="2"/>
        <v>0</v>
      </c>
    </row>
    <row r="37" spans="1:9" x14ac:dyDescent="0.25">
      <c r="A37" s="92" t="s">
        <v>367</v>
      </c>
      <c r="B37" s="62"/>
      <c r="C37" s="62"/>
      <c r="D37" s="6">
        <f t="shared" si="0"/>
        <v>0</v>
      </c>
      <c r="E37" s="87"/>
      <c r="F37" s="62"/>
      <c r="G37" s="6">
        <f t="shared" si="1"/>
        <v>0</v>
      </c>
      <c r="H37" s="62"/>
      <c r="I37" s="17">
        <f t="shared" si="2"/>
        <v>0</v>
      </c>
    </row>
    <row r="38" spans="1:9" x14ac:dyDescent="0.25">
      <c r="A38" s="92" t="s">
        <v>345</v>
      </c>
      <c r="B38" s="21">
        <v>106569.51</v>
      </c>
      <c r="C38" s="21"/>
      <c r="D38" s="6">
        <f t="shared" si="0"/>
        <v>106569.51</v>
      </c>
      <c r="E38" s="41">
        <v>-136260.28</v>
      </c>
      <c r="F38" s="62"/>
      <c r="G38" s="6">
        <f t="shared" si="1"/>
        <v>-136260.28</v>
      </c>
      <c r="H38" s="21">
        <v>38379.24</v>
      </c>
      <c r="I38" s="17">
        <f t="shared" si="2"/>
        <v>8688.4699999999939</v>
      </c>
    </row>
    <row r="39" spans="1:9" x14ac:dyDescent="0.25">
      <c r="A39" s="92" t="s">
        <v>369</v>
      </c>
      <c r="B39" s="62"/>
      <c r="C39" s="62"/>
      <c r="D39" s="6">
        <f t="shared" si="0"/>
        <v>0</v>
      </c>
      <c r="E39" s="87"/>
      <c r="F39" s="62"/>
      <c r="G39" s="6">
        <f t="shared" si="1"/>
        <v>0</v>
      </c>
      <c r="H39" s="62"/>
      <c r="I39" s="17">
        <f t="shared" si="2"/>
        <v>0</v>
      </c>
    </row>
    <row r="40" spans="1:9" x14ac:dyDescent="0.25">
      <c r="A40" s="91" t="s">
        <v>17</v>
      </c>
      <c r="B40" s="62"/>
      <c r="C40" s="62"/>
      <c r="D40" s="6">
        <f t="shared" si="0"/>
        <v>0</v>
      </c>
      <c r="E40" s="87"/>
      <c r="F40" s="62"/>
      <c r="G40" s="6">
        <f t="shared" si="1"/>
        <v>0</v>
      </c>
      <c r="H40" s="62"/>
      <c r="I40" s="17">
        <f t="shared" si="2"/>
        <v>0</v>
      </c>
    </row>
    <row r="41" spans="1:9" x14ac:dyDescent="0.25">
      <c r="A41" s="2" t="s">
        <v>18</v>
      </c>
      <c r="B41" s="6">
        <f>SUM(B23:B40)</f>
        <v>106569.51</v>
      </c>
      <c r="C41" s="6">
        <f>SUM(C23:C40)</f>
        <v>0</v>
      </c>
      <c r="D41" s="6">
        <f t="shared" si="0"/>
        <v>106569.51</v>
      </c>
      <c r="E41" s="48">
        <f>SUM(E23:E40)</f>
        <v>-136260.28</v>
      </c>
      <c r="F41" s="6">
        <f>SUM(F23:F40)</f>
        <v>0</v>
      </c>
      <c r="G41" s="6">
        <f t="shared" si="1"/>
        <v>-136260.28</v>
      </c>
      <c r="H41" s="6">
        <f>SUM(H23:H40)</f>
        <v>38379.24</v>
      </c>
      <c r="I41" s="17">
        <f t="shared" si="2"/>
        <v>8688.4699999999939</v>
      </c>
    </row>
    <row r="42" spans="1:9" x14ac:dyDescent="0.25">
      <c r="D42" s="6">
        <f t="shared" si="0"/>
        <v>0</v>
      </c>
      <c r="G42" s="6">
        <f t="shared" si="1"/>
        <v>0</v>
      </c>
      <c r="I42" s="17">
        <f t="shared" si="2"/>
        <v>0</v>
      </c>
    </row>
    <row r="43" spans="1:9" x14ac:dyDescent="0.25">
      <c r="A43" s="2" t="s">
        <v>19</v>
      </c>
      <c r="B43" s="6">
        <f>B20+B41</f>
        <v>144368.01999999999</v>
      </c>
      <c r="C43" s="6">
        <f>C20+C41</f>
        <v>0</v>
      </c>
      <c r="D43" s="6">
        <f t="shared" si="0"/>
        <v>144368.01999999999</v>
      </c>
      <c r="E43" s="48">
        <f>E20+E41</f>
        <v>-126138.16</v>
      </c>
      <c r="F43" s="6">
        <f>F20+F41</f>
        <v>0</v>
      </c>
      <c r="G43" s="6">
        <f t="shared" si="1"/>
        <v>-126138.16</v>
      </c>
      <c r="H43" s="6">
        <f>H20+H41</f>
        <v>38379.24</v>
      </c>
      <c r="I43" s="17">
        <f t="shared" si="2"/>
        <v>56609.099999999984</v>
      </c>
    </row>
    <row r="44" spans="1:9" x14ac:dyDescent="0.25">
      <c r="D44" s="6">
        <f t="shared" si="0"/>
        <v>0</v>
      </c>
      <c r="G44" s="6">
        <f t="shared" si="1"/>
        <v>0</v>
      </c>
      <c r="I44" s="17">
        <f t="shared" si="2"/>
        <v>0</v>
      </c>
    </row>
    <row r="45" spans="1:9" x14ac:dyDescent="0.25">
      <c r="A45" s="3" t="s">
        <v>20</v>
      </c>
      <c r="D45" s="6">
        <f t="shared" si="0"/>
        <v>0</v>
      </c>
      <c r="G45" s="6">
        <f t="shared" si="1"/>
        <v>0</v>
      </c>
      <c r="I45" s="17">
        <f t="shared" si="2"/>
        <v>0</v>
      </c>
    </row>
    <row r="46" spans="1:9" x14ac:dyDescent="0.25">
      <c r="A46" s="4" t="s">
        <v>21</v>
      </c>
      <c r="B46" s="21"/>
      <c r="C46" s="21"/>
      <c r="D46" s="6">
        <f>SUM(C46:C46)</f>
        <v>0</v>
      </c>
      <c r="E46" s="41">
        <v>345008.76</v>
      </c>
      <c r="F46" s="21"/>
      <c r="G46" s="6">
        <f t="shared" si="1"/>
        <v>345008.76</v>
      </c>
      <c r="H46" s="21"/>
      <c r="I46" s="17">
        <f t="shared" si="2"/>
        <v>345008.76</v>
      </c>
    </row>
    <row r="47" spans="1:9" x14ac:dyDescent="0.25">
      <c r="A47" s="4" t="s">
        <v>22</v>
      </c>
      <c r="B47" s="21">
        <v>297973.53000000003</v>
      </c>
      <c r="C47" s="21"/>
      <c r="D47" s="6">
        <f t="shared" si="0"/>
        <v>297973.53000000003</v>
      </c>
      <c r="E47" s="41"/>
      <c r="F47" s="21"/>
      <c r="G47" s="6">
        <f t="shared" si="1"/>
        <v>0</v>
      </c>
      <c r="H47" s="21"/>
      <c r="I47" s="17">
        <f t="shared" si="2"/>
        <v>297973.53000000003</v>
      </c>
    </row>
    <row r="48" spans="1:9" x14ac:dyDescent="0.25">
      <c r="A48" s="4" t="s">
        <v>23</v>
      </c>
      <c r="B48" s="21">
        <v>586.63</v>
      </c>
      <c r="C48" s="21"/>
      <c r="D48" s="6">
        <f t="shared" si="0"/>
        <v>586.63</v>
      </c>
      <c r="E48" s="41"/>
      <c r="F48" s="21"/>
      <c r="G48" s="6">
        <f t="shared" si="1"/>
        <v>0</v>
      </c>
      <c r="H48" s="21">
        <v>97.15</v>
      </c>
      <c r="I48" s="17">
        <f t="shared" si="2"/>
        <v>683.78</v>
      </c>
    </row>
    <row r="49" spans="1:9" x14ac:dyDescent="0.25">
      <c r="A49" s="4" t="s">
        <v>24</v>
      </c>
      <c r="B49" s="21">
        <v>19675.32</v>
      </c>
      <c r="C49" s="21"/>
      <c r="D49" s="6">
        <f t="shared" si="0"/>
        <v>19675.32</v>
      </c>
      <c r="E49" s="41"/>
      <c r="F49" s="21"/>
      <c r="G49" s="6">
        <f t="shared" si="1"/>
        <v>0</v>
      </c>
      <c r="H49" s="21"/>
      <c r="I49" s="17">
        <f t="shared" si="2"/>
        <v>19675.32</v>
      </c>
    </row>
    <row r="50" spans="1:9" x14ac:dyDescent="0.25">
      <c r="A50" s="2" t="s">
        <v>25</v>
      </c>
      <c r="B50" s="6">
        <f>SUM(B46:B49)</f>
        <v>318235.48000000004</v>
      </c>
      <c r="C50" s="6">
        <f>SUM(C46:C49)</f>
        <v>0</v>
      </c>
      <c r="D50" s="6">
        <f t="shared" si="0"/>
        <v>318235.48000000004</v>
      </c>
      <c r="E50" s="48">
        <f>SUM(E46:E49)</f>
        <v>345008.76</v>
      </c>
      <c r="F50" s="6">
        <f>SUM(F46:F49)</f>
        <v>0</v>
      </c>
      <c r="G50" s="6">
        <f t="shared" si="1"/>
        <v>345008.76</v>
      </c>
      <c r="H50" s="6">
        <f>SUM(H46:H49)</f>
        <v>97.15</v>
      </c>
      <c r="I50" s="17">
        <f t="shared" si="2"/>
        <v>663341.39</v>
      </c>
    </row>
    <row r="51" spans="1:9" x14ac:dyDescent="0.25">
      <c r="D51" s="6">
        <f t="shared" si="0"/>
        <v>0</v>
      </c>
      <c r="G51" s="6">
        <f t="shared" si="1"/>
        <v>0</v>
      </c>
      <c r="I51" s="17">
        <f t="shared" si="2"/>
        <v>0</v>
      </c>
    </row>
    <row r="52" spans="1:9" x14ac:dyDescent="0.25">
      <c r="A52" s="3" t="s">
        <v>26</v>
      </c>
      <c r="D52" s="6">
        <f t="shared" si="0"/>
        <v>0</v>
      </c>
      <c r="G52" s="6">
        <f t="shared" si="1"/>
        <v>0</v>
      </c>
      <c r="I52" s="17">
        <f t="shared" si="2"/>
        <v>0</v>
      </c>
    </row>
    <row r="53" spans="1:9" x14ac:dyDescent="0.25">
      <c r="A53" s="4" t="s">
        <v>27</v>
      </c>
      <c r="B53" s="62"/>
      <c r="C53" s="21"/>
      <c r="D53" s="6">
        <f t="shared" si="0"/>
        <v>0</v>
      </c>
      <c r="E53" s="62"/>
      <c r="F53" s="21"/>
      <c r="G53" s="6">
        <f t="shared" si="1"/>
        <v>0</v>
      </c>
      <c r="H53" s="21"/>
      <c r="I53" s="17">
        <f t="shared" si="2"/>
        <v>0</v>
      </c>
    </row>
    <row r="54" spans="1:9" x14ac:dyDescent="0.25">
      <c r="A54" s="4" t="s">
        <v>28</v>
      </c>
      <c r="B54" s="62"/>
      <c r="C54" s="21"/>
      <c r="D54" s="6">
        <f t="shared" si="0"/>
        <v>0</v>
      </c>
      <c r="E54" s="62"/>
      <c r="F54" s="21"/>
      <c r="G54" s="6">
        <f t="shared" si="1"/>
        <v>0</v>
      </c>
      <c r="H54" s="21"/>
      <c r="I54" s="17">
        <f t="shared" si="2"/>
        <v>0</v>
      </c>
    </row>
    <row r="55" spans="1:9" x14ac:dyDescent="0.25">
      <c r="A55" s="4" t="s">
        <v>29</v>
      </c>
      <c r="B55" s="62"/>
      <c r="C55" s="21"/>
      <c r="D55" s="6">
        <f t="shared" si="0"/>
        <v>0</v>
      </c>
      <c r="E55" s="62"/>
      <c r="F55" s="21"/>
      <c r="G55" s="6">
        <f t="shared" si="1"/>
        <v>0</v>
      </c>
      <c r="H55" s="21"/>
      <c r="I55" s="17">
        <f t="shared" si="2"/>
        <v>0</v>
      </c>
    </row>
    <row r="56" spans="1:9" x14ac:dyDescent="0.25">
      <c r="A56" s="4" t="s">
        <v>30</v>
      </c>
      <c r="B56" s="21">
        <v>313600.24</v>
      </c>
      <c r="C56" s="21"/>
      <c r="D56" s="6">
        <f t="shared" si="0"/>
        <v>313600.24</v>
      </c>
      <c r="E56" s="41">
        <v>368159.3</v>
      </c>
      <c r="F56" s="21"/>
      <c r="G56" s="6">
        <f t="shared" si="1"/>
        <v>368159.3</v>
      </c>
      <c r="H56" s="21"/>
      <c r="I56" s="17">
        <f t="shared" si="2"/>
        <v>681759.54</v>
      </c>
    </row>
    <row r="57" spans="1:9" x14ac:dyDescent="0.25">
      <c r="A57" s="4" t="s">
        <v>31</v>
      </c>
      <c r="B57" s="62"/>
      <c r="C57" s="21"/>
      <c r="D57" s="6">
        <f t="shared" si="0"/>
        <v>0</v>
      </c>
      <c r="E57" s="87"/>
      <c r="F57" s="21"/>
      <c r="G57" s="6">
        <f t="shared" si="1"/>
        <v>0</v>
      </c>
      <c r="H57" s="21"/>
      <c r="I57" s="17">
        <f t="shared" si="2"/>
        <v>0</v>
      </c>
    </row>
    <row r="58" spans="1:9" x14ac:dyDescent="0.25">
      <c r="A58" s="4" t="s">
        <v>62</v>
      </c>
      <c r="B58" s="62"/>
      <c r="C58" s="21"/>
      <c r="D58" s="6">
        <f t="shared" si="0"/>
        <v>0</v>
      </c>
      <c r="E58" s="87"/>
      <c r="F58" s="21"/>
      <c r="G58" s="6">
        <f t="shared" si="1"/>
        <v>0</v>
      </c>
      <c r="H58" s="21">
        <v>4000</v>
      </c>
      <c r="I58" s="17">
        <f t="shared" si="2"/>
        <v>4000</v>
      </c>
    </row>
    <row r="59" spans="1:9" x14ac:dyDescent="0.25">
      <c r="A59" s="2" t="s">
        <v>32</v>
      </c>
      <c r="B59" s="6">
        <f>SUM(B53:B58)</f>
        <v>313600.24</v>
      </c>
      <c r="C59" s="6">
        <f>SUM(C53:C58)</f>
        <v>0</v>
      </c>
      <c r="D59" s="6">
        <f t="shared" si="0"/>
        <v>313600.24</v>
      </c>
      <c r="E59" s="48">
        <f>SUM(E53:E58)</f>
        <v>368159.3</v>
      </c>
      <c r="F59" s="6">
        <f>SUM(F53:F58)</f>
        <v>0</v>
      </c>
      <c r="G59" s="6">
        <f t="shared" si="1"/>
        <v>368159.3</v>
      </c>
      <c r="H59" s="6">
        <f>SUM(H53:H58)</f>
        <v>4000</v>
      </c>
      <c r="I59" s="17">
        <f t="shared" si="2"/>
        <v>685759.54</v>
      </c>
    </row>
    <row r="60" spans="1:9" x14ac:dyDescent="0.25">
      <c r="D60" s="6">
        <f t="shared" si="0"/>
        <v>0</v>
      </c>
      <c r="G60" s="6">
        <f t="shared" si="1"/>
        <v>0</v>
      </c>
      <c r="I60" s="17">
        <f t="shared" si="2"/>
        <v>0</v>
      </c>
    </row>
    <row r="61" spans="1:9" x14ac:dyDescent="0.25">
      <c r="A61" s="2" t="s">
        <v>33</v>
      </c>
      <c r="B61" s="6">
        <f>B50-B59</f>
        <v>4635.2400000000489</v>
      </c>
      <c r="C61" s="6">
        <f>C50-C59</f>
        <v>0</v>
      </c>
      <c r="D61" s="6">
        <f t="shared" si="0"/>
        <v>4635.2400000000489</v>
      </c>
      <c r="E61" s="48">
        <f>E50-E59</f>
        <v>-23150.539999999979</v>
      </c>
      <c r="F61" s="6">
        <f>F50-F59</f>
        <v>0</v>
      </c>
      <c r="G61" s="6">
        <f t="shared" si="1"/>
        <v>-23150.539999999979</v>
      </c>
      <c r="H61" s="6">
        <f>H50-H59</f>
        <v>-3902.85</v>
      </c>
      <c r="I61" s="17">
        <f t="shared" si="2"/>
        <v>-22418.149999999929</v>
      </c>
    </row>
    <row r="62" spans="1:9" x14ac:dyDescent="0.25">
      <c r="A62" s="2"/>
      <c r="I62" s="17"/>
    </row>
    <row r="63" spans="1:9" x14ac:dyDescent="0.25">
      <c r="A63" s="38" t="s">
        <v>301</v>
      </c>
      <c r="B63" s="21"/>
      <c r="C63" s="21"/>
      <c r="D63" s="6">
        <f t="shared" si="0"/>
        <v>0</v>
      </c>
      <c r="E63" s="41"/>
      <c r="F63" s="21"/>
      <c r="G63" s="6">
        <f t="shared" si="1"/>
        <v>0</v>
      </c>
      <c r="H63" s="21"/>
      <c r="I63" s="17">
        <f t="shared" si="2"/>
        <v>0</v>
      </c>
    </row>
    <row r="64" spans="1:9" x14ac:dyDescent="0.25">
      <c r="A64" t="s">
        <v>34</v>
      </c>
      <c r="B64" s="21"/>
      <c r="C64" s="21"/>
      <c r="D64" s="6">
        <f t="shared" si="0"/>
        <v>0</v>
      </c>
      <c r="E64" s="41">
        <v>23150.54</v>
      </c>
      <c r="F64" s="21"/>
      <c r="G64" s="6">
        <f t="shared" si="1"/>
        <v>23150.54</v>
      </c>
      <c r="H64" s="21"/>
      <c r="I64" s="17">
        <f t="shared" si="2"/>
        <v>23150.54</v>
      </c>
    </row>
    <row r="65" spans="1:9" x14ac:dyDescent="0.25">
      <c r="A65" t="s">
        <v>35</v>
      </c>
      <c r="B65" s="21">
        <v>173150.54</v>
      </c>
      <c r="C65" s="21"/>
      <c r="D65" s="6">
        <f t="shared" si="0"/>
        <v>173150.54</v>
      </c>
      <c r="E65" s="41"/>
      <c r="F65" s="21"/>
      <c r="G65" s="6">
        <f t="shared" si="1"/>
        <v>0</v>
      </c>
      <c r="H65" s="21"/>
      <c r="I65" s="17">
        <f t="shared" si="2"/>
        <v>173150.54</v>
      </c>
    </row>
    <row r="66" spans="1:9" x14ac:dyDescent="0.25">
      <c r="A66" s="2" t="s">
        <v>36</v>
      </c>
      <c r="B66" s="6">
        <f>B63+B64-B65</f>
        <v>-173150.54</v>
      </c>
      <c r="C66" s="6">
        <f>C63+C64-C65</f>
        <v>0</v>
      </c>
      <c r="D66" s="6">
        <f t="shared" si="0"/>
        <v>-173150.54</v>
      </c>
      <c r="E66" s="48">
        <f>E63+E64-E65</f>
        <v>23150.54</v>
      </c>
      <c r="F66" s="6">
        <f>F63+F64-F65</f>
        <v>0</v>
      </c>
      <c r="G66" s="6">
        <f t="shared" si="1"/>
        <v>23150.54</v>
      </c>
      <c r="H66" s="6">
        <f>H63+H64-H65</f>
        <v>0</v>
      </c>
      <c r="I66" s="17">
        <f t="shared" si="2"/>
        <v>-150000</v>
      </c>
    </row>
    <row r="67" spans="1:9" x14ac:dyDescent="0.25">
      <c r="D67" s="6">
        <f t="shared" si="0"/>
        <v>0</v>
      </c>
      <c r="G67" s="6">
        <f t="shared" si="1"/>
        <v>0</v>
      </c>
      <c r="I67" s="17">
        <f t="shared" si="2"/>
        <v>0</v>
      </c>
    </row>
    <row r="68" spans="1:9" x14ac:dyDescent="0.25">
      <c r="A68" s="2" t="s">
        <v>37</v>
      </c>
      <c r="B68" s="6">
        <f>B61+B66</f>
        <v>-168515.29999999996</v>
      </c>
      <c r="C68" s="6">
        <f>C61+C66</f>
        <v>0</v>
      </c>
      <c r="D68" s="6">
        <f t="shared" si="0"/>
        <v>-168515.29999999996</v>
      </c>
      <c r="E68" s="48">
        <f>E61+E66</f>
        <v>0</v>
      </c>
      <c r="F68" s="6">
        <f>F61+F66</f>
        <v>0</v>
      </c>
      <c r="G68" s="6">
        <f t="shared" si="1"/>
        <v>0</v>
      </c>
      <c r="H68" s="6">
        <f>H61+H66</f>
        <v>-3902.85</v>
      </c>
      <c r="I68" s="17">
        <f t="shared" si="2"/>
        <v>-172418.14999999997</v>
      </c>
    </row>
    <row r="69" spans="1:9" x14ac:dyDescent="0.25">
      <c r="A69" t="s">
        <v>38</v>
      </c>
      <c r="B69" s="6">
        <f>B70-B68</f>
        <v>275084.80999999994</v>
      </c>
      <c r="C69" s="6">
        <f>C70-C68</f>
        <v>0</v>
      </c>
      <c r="D69" s="6">
        <f t="shared" si="0"/>
        <v>275084.80999999994</v>
      </c>
      <c r="E69" s="48">
        <f>E70-E68</f>
        <v>-136260.28</v>
      </c>
      <c r="F69" s="6">
        <f>F70-F68</f>
        <v>0</v>
      </c>
      <c r="G69" s="6">
        <f t="shared" si="1"/>
        <v>-136260.28</v>
      </c>
      <c r="H69" s="6">
        <f>H70-H68</f>
        <v>42282.09</v>
      </c>
      <c r="I69" s="17">
        <f t="shared" si="2"/>
        <v>181106.61999999994</v>
      </c>
    </row>
    <row r="70" spans="1:9" x14ac:dyDescent="0.25">
      <c r="A70" s="2" t="s">
        <v>39</v>
      </c>
      <c r="B70" s="6">
        <f>B41</f>
        <v>106569.51</v>
      </c>
      <c r="C70" s="6">
        <f>C41</f>
        <v>0</v>
      </c>
      <c r="D70" s="6">
        <f t="shared" si="0"/>
        <v>106569.51</v>
      </c>
      <c r="E70" s="48">
        <f>E41</f>
        <v>-136260.28</v>
      </c>
      <c r="F70" s="6">
        <f>F41</f>
        <v>0</v>
      </c>
      <c r="G70" s="6">
        <f t="shared" si="1"/>
        <v>-136260.28</v>
      </c>
      <c r="H70" s="6">
        <f>H41</f>
        <v>38379.24</v>
      </c>
      <c r="I70" s="17">
        <f t="shared" si="2"/>
        <v>8688.4699999999939</v>
      </c>
    </row>
  </sheetData>
  <dataConsolidate/>
  <customSheetViews>
    <customSheetView guid="{E68B3865-8D72-47E7-BE32-0FF7EB09E889}" fitToPage="1">
      <pane xSplit="1" ySplit="5" topLeftCell="B54" activePane="bottomRight" state="frozen"/>
      <selection pane="bottomRight" activeCell="A4" sqref="A4"/>
      <pageMargins left="0.7" right="0.7" top="0.75" bottom="0.75" header="0.3" footer="0.3"/>
      <pageSetup scale="68" orientation="portrait" horizontalDpi="1200" r:id="rId1"/>
    </customSheetView>
    <customSheetView guid="{2B2709E2-6DF4-4CC4-88D0-056FB306137C}" fitToPage="1">
      <pane xSplit="1" ySplit="5" topLeftCell="B39" activePane="bottomRight" state="frozen"/>
      <selection pane="bottomRight" activeCell="B48" sqref="B48"/>
      <pageMargins left="0.7" right="0.7" top="0.75" bottom="0.75" header="0.3" footer="0.3"/>
      <pageSetup scale="68" orientation="portrait" horizontalDpi="1200" r:id="rId2"/>
    </customSheetView>
    <customSheetView guid="{EC03C3C8-7E57-47C6-8413-F484E8C46A0C}" showPageBreaks="1" fitToPage="1" topLeftCell="A33">
      <selection activeCell="I48" sqref="I48"/>
      <pageMargins left="0.7" right="0.7" top="0.75" bottom="0.75" header="0.3" footer="0.3"/>
      <pageSetup scale="68" orientation="portrait" horizontalDpi="1200" r:id="rId3"/>
    </customSheetView>
    <customSheetView guid="{D62C3EC3-27D1-41F3-9A4E-06307CA202CE}" showPageBreaks="1" fitToPage="1" showRuler="0">
      <selection activeCell="I9" sqref="I9"/>
      <pageMargins left="0.7" right="0.7" top="0.75" bottom="0.75" header="0.3" footer="0.3"/>
      <pageSetup scale="68" orientation="portrait" horizontalDpi="1200" r:id="rId4"/>
      <headerFooter alignWithMargins="0"/>
    </customSheetView>
    <customSheetView guid="{A6F79E61-D6A3-44FD-B4A4-4724DF74349B}" showPageBreaks="1" fitToPage="1">
      <selection activeCell="B10" sqref="B10"/>
      <pageMargins left="0.7" right="0.7" top="0.75" bottom="0.75" header="0.3" footer="0.3"/>
      <pageSetup scale="64" orientation="portrait" horizontalDpi="1200" r:id="rId5"/>
    </customSheetView>
    <customSheetView guid="{DE6E911D-85BF-467A-AA00-1E84C5349CF7}" showPageBreaks="1" fitToPage="1">
      <selection activeCell="C65" sqref="C65"/>
      <pageMargins left="0.7" right="0.7" top="0.75" bottom="0.75" header="0.3" footer="0.3"/>
      <pageSetup scale="64" orientation="portrait" horizontalDpi="1200" r:id="rId6"/>
    </customSheetView>
  </customSheetViews>
  <phoneticPr fontId="0" type="noConversion"/>
  <pageMargins left="0.7" right="0.7" top="0.75" bottom="0.75" header="0.3" footer="0.3"/>
  <pageSetup scale="68" orientation="portrait" horizontalDpi="1200" r:id="rId7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workbookViewId="0">
      <pane xSplit="1" ySplit="7" topLeftCell="B38" activePane="bottomRight" state="frozen"/>
      <selection pane="topRight" activeCell="B1" sqref="B1"/>
      <selection pane="bottomLeft" activeCell="A8" sqref="A8"/>
      <selection pane="bottomRight" activeCell="A4" sqref="A4"/>
    </sheetView>
  </sheetViews>
  <sheetFormatPr defaultRowHeight="15" outlineLevelCol="1" x14ac:dyDescent="0.25"/>
  <cols>
    <col min="1" max="1" width="31" customWidth="1"/>
    <col min="2" max="2" width="12.7109375" style="6" bestFit="1" customWidth="1" outlineLevel="1"/>
    <col min="3" max="3" width="13.5703125" style="6" bestFit="1" customWidth="1" outlineLevel="1"/>
    <col min="4" max="4" width="13.5703125" style="6" bestFit="1" customWidth="1"/>
    <col min="5" max="5" width="13.42578125" style="48" bestFit="1" customWidth="1" outlineLevel="1"/>
    <col min="6" max="6" width="13.5703125" style="6" bestFit="1" customWidth="1" outlineLevel="1"/>
    <col min="7" max="7" width="13.5703125" style="6" bestFit="1" customWidth="1"/>
    <col min="8" max="8" width="12.7109375" style="6" bestFit="1" customWidth="1"/>
    <col min="9" max="10" width="11.85546875" style="6" customWidth="1"/>
    <col min="11" max="11" width="14" style="6" customWidth="1"/>
    <col min="12" max="13" width="11.140625" style="6" bestFit="1" customWidth="1"/>
    <col min="14" max="14" width="9.140625" style="6"/>
    <col min="15" max="15" width="13.5703125" style="6" bestFit="1" customWidth="1"/>
    <col min="16" max="16" width="12.7109375" bestFit="1" customWidth="1"/>
  </cols>
  <sheetData>
    <row r="1" spans="1:15" ht="23.25" x14ac:dyDescent="0.35">
      <c r="A1" s="5" t="s">
        <v>88</v>
      </c>
    </row>
    <row r="2" spans="1:15" x14ac:dyDescent="0.25">
      <c r="A2" t="s">
        <v>1</v>
      </c>
    </row>
    <row r="3" spans="1:15" x14ac:dyDescent="0.25">
      <c r="A3" s="1">
        <v>43435</v>
      </c>
    </row>
    <row r="4" spans="1:15" x14ac:dyDescent="0.25">
      <c r="A4" s="1"/>
    </row>
    <row r="5" spans="1:15" ht="30" x14ac:dyDescent="0.25">
      <c r="A5" s="1"/>
      <c r="B5" s="7" t="s">
        <v>85</v>
      </c>
      <c r="C5" s="7" t="s">
        <v>47</v>
      </c>
      <c r="D5" s="7" t="s">
        <v>87</v>
      </c>
      <c r="E5" s="49" t="s">
        <v>86</v>
      </c>
      <c r="F5" s="7" t="s">
        <v>47</v>
      </c>
      <c r="G5" s="7" t="s">
        <v>87</v>
      </c>
      <c r="H5" s="24" t="s">
        <v>239</v>
      </c>
      <c r="I5" s="7"/>
      <c r="J5" s="7"/>
      <c r="K5" s="7"/>
      <c r="L5" s="7"/>
      <c r="M5" s="7"/>
      <c r="N5" s="7"/>
      <c r="O5" s="7"/>
    </row>
    <row r="7" spans="1:15" x14ac:dyDescent="0.25">
      <c r="A7" s="3" t="s">
        <v>2</v>
      </c>
    </row>
    <row r="8" spans="1:15" x14ac:dyDescent="0.25">
      <c r="A8" s="4" t="s">
        <v>3</v>
      </c>
      <c r="B8" s="21">
        <v>-830.09</v>
      </c>
      <c r="C8" s="21"/>
      <c r="D8" s="6">
        <f>B8+C8</f>
        <v>-830.09</v>
      </c>
      <c r="E8" s="41">
        <v>-152756.09</v>
      </c>
      <c r="F8" s="21"/>
      <c r="G8" s="55">
        <f t="shared" ref="G8:G13" si="0">E8+F8</f>
        <v>-152756.09</v>
      </c>
      <c r="H8" s="6">
        <f t="shared" ref="H8:H55" si="1">D8+G8</f>
        <v>-153586.18</v>
      </c>
    </row>
    <row r="9" spans="1:15" x14ac:dyDescent="0.25">
      <c r="A9" s="4" t="s">
        <v>4</v>
      </c>
      <c r="B9" s="21"/>
      <c r="C9" s="21"/>
      <c r="D9" s="6">
        <f t="shared" ref="D9:D51" si="2">B9+C9</f>
        <v>0</v>
      </c>
      <c r="E9" s="41">
        <v>153017.03</v>
      </c>
      <c r="F9" s="21"/>
      <c r="G9" s="6">
        <f t="shared" si="0"/>
        <v>153017.03</v>
      </c>
      <c r="H9" s="6">
        <f t="shared" si="1"/>
        <v>153017.03</v>
      </c>
    </row>
    <row r="10" spans="1:15" x14ac:dyDescent="0.25">
      <c r="A10" s="4" t="s">
        <v>6</v>
      </c>
      <c r="B10" s="21">
        <v>569</v>
      </c>
      <c r="C10" s="21"/>
      <c r="D10" s="6">
        <f t="shared" si="2"/>
        <v>569</v>
      </c>
      <c r="E10" s="41"/>
      <c r="F10" s="21"/>
      <c r="G10" s="6">
        <f t="shared" si="0"/>
        <v>0</v>
      </c>
      <c r="H10" s="6">
        <f t="shared" si="1"/>
        <v>569</v>
      </c>
    </row>
    <row r="11" spans="1:15" x14ac:dyDescent="0.25">
      <c r="A11" s="4" t="s">
        <v>5</v>
      </c>
      <c r="B11" s="21"/>
      <c r="C11" s="21"/>
      <c r="D11" s="6">
        <f t="shared" si="2"/>
        <v>0</v>
      </c>
      <c r="E11" s="41"/>
      <c r="F11" s="21"/>
      <c r="G11" s="6">
        <f t="shared" si="0"/>
        <v>0</v>
      </c>
      <c r="H11" s="6">
        <f t="shared" si="1"/>
        <v>0</v>
      </c>
    </row>
    <row r="12" spans="1:15" x14ac:dyDescent="0.25">
      <c r="A12" s="4" t="s">
        <v>61</v>
      </c>
      <c r="B12" s="21"/>
      <c r="C12" s="21"/>
      <c r="D12" s="6">
        <f t="shared" si="2"/>
        <v>0</v>
      </c>
      <c r="E12" s="41"/>
      <c r="F12" s="21"/>
      <c r="G12" s="6">
        <f t="shared" si="0"/>
        <v>0</v>
      </c>
      <c r="H12" s="6">
        <f t="shared" si="1"/>
        <v>0</v>
      </c>
    </row>
    <row r="13" spans="1:15" x14ac:dyDescent="0.25">
      <c r="A13" s="2" t="s">
        <v>7</v>
      </c>
      <c r="B13" s="6">
        <f>SUM(B8:B12)</f>
        <v>-261.09000000000003</v>
      </c>
      <c r="C13" s="6">
        <f>SUM(C8:C12)</f>
        <v>0</v>
      </c>
      <c r="D13" s="6">
        <f t="shared" si="2"/>
        <v>-261.09000000000003</v>
      </c>
      <c r="E13" s="48">
        <f>SUM(E8:E12)</f>
        <v>260.94000000000233</v>
      </c>
      <c r="F13" s="6">
        <f>SUM(F8:F12)</f>
        <v>0</v>
      </c>
      <c r="G13" s="6">
        <f t="shared" si="0"/>
        <v>260.94000000000233</v>
      </c>
      <c r="H13" s="6">
        <f t="shared" si="1"/>
        <v>-0.14999999999770353</v>
      </c>
    </row>
    <row r="15" spans="1:15" x14ac:dyDescent="0.25">
      <c r="A15" s="3" t="s">
        <v>8</v>
      </c>
    </row>
    <row r="16" spans="1:15" x14ac:dyDescent="0.25">
      <c r="A16" s="4" t="s">
        <v>9</v>
      </c>
      <c r="B16" s="21"/>
      <c r="C16" s="21"/>
      <c r="D16" s="6">
        <f t="shared" si="2"/>
        <v>0</v>
      </c>
      <c r="E16" s="41"/>
      <c r="F16" s="21"/>
      <c r="G16" s="6">
        <f>E16+F16</f>
        <v>0</v>
      </c>
      <c r="H16" s="6">
        <f t="shared" si="1"/>
        <v>0</v>
      </c>
    </row>
    <row r="17" spans="1:8" x14ac:dyDescent="0.25">
      <c r="A17" s="4" t="s">
        <v>10</v>
      </c>
      <c r="B17" s="21"/>
      <c r="C17" s="21"/>
      <c r="D17" s="6">
        <f t="shared" si="2"/>
        <v>0</v>
      </c>
      <c r="E17" s="41"/>
      <c r="F17" s="21"/>
      <c r="G17" s="6">
        <f>E17+F17</f>
        <v>0</v>
      </c>
      <c r="H17" s="6">
        <f t="shared" si="1"/>
        <v>0</v>
      </c>
    </row>
    <row r="18" spans="1:8" x14ac:dyDescent="0.25">
      <c r="A18" s="4" t="s">
        <v>190</v>
      </c>
      <c r="B18" s="21"/>
      <c r="C18" s="21"/>
      <c r="D18" s="6">
        <f t="shared" si="2"/>
        <v>0</v>
      </c>
      <c r="E18" s="41"/>
      <c r="F18" s="21"/>
      <c r="G18" s="6">
        <f>E18+F18</f>
        <v>0</v>
      </c>
      <c r="H18" s="6">
        <f t="shared" si="1"/>
        <v>0</v>
      </c>
    </row>
    <row r="19" spans="1:8" x14ac:dyDescent="0.25">
      <c r="A19" s="4" t="s">
        <v>12</v>
      </c>
      <c r="B19" s="21"/>
      <c r="C19" s="21"/>
      <c r="D19" s="6">
        <f t="shared" si="2"/>
        <v>0</v>
      </c>
      <c r="E19" s="41"/>
      <c r="F19" s="21"/>
      <c r="G19" s="6">
        <f>E19+F19</f>
        <v>0</v>
      </c>
      <c r="H19" s="6">
        <f t="shared" si="1"/>
        <v>0</v>
      </c>
    </row>
    <row r="20" spans="1:8" x14ac:dyDescent="0.25">
      <c r="A20" s="2" t="s">
        <v>13</v>
      </c>
      <c r="B20" s="6">
        <f>SUM(B16:B19)</f>
        <v>0</v>
      </c>
      <c r="C20" s="6">
        <f>SUM(C16:C19)</f>
        <v>0</v>
      </c>
      <c r="D20" s="6">
        <f t="shared" si="2"/>
        <v>0</v>
      </c>
      <c r="E20" s="48">
        <f>SUM(E16:E19)</f>
        <v>0</v>
      </c>
      <c r="F20" s="6">
        <f>SUM(F16:F19)</f>
        <v>0</v>
      </c>
      <c r="G20" s="6">
        <f>E20+F20</f>
        <v>0</v>
      </c>
      <c r="H20" s="6">
        <f t="shared" si="1"/>
        <v>0</v>
      </c>
    </row>
    <row r="22" spans="1:8" x14ac:dyDescent="0.25">
      <c r="A22" s="3" t="s">
        <v>14</v>
      </c>
      <c r="H22" s="6">
        <f t="shared" si="1"/>
        <v>0</v>
      </c>
    </row>
    <row r="23" spans="1:8" x14ac:dyDescent="0.25">
      <c r="A23" s="4" t="s">
        <v>15</v>
      </c>
      <c r="B23" s="21"/>
      <c r="C23" s="21"/>
      <c r="D23" s="6">
        <f t="shared" si="2"/>
        <v>0</v>
      </c>
      <c r="E23" s="41"/>
      <c r="F23" s="21"/>
      <c r="G23" s="6">
        <f>E23+F23</f>
        <v>0</v>
      </c>
      <c r="H23" s="6">
        <f t="shared" si="1"/>
        <v>0</v>
      </c>
    </row>
    <row r="24" spans="1:8" x14ac:dyDescent="0.25">
      <c r="A24" s="4" t="s">
        <v>16</v>
      </c>
      <c r="B24" s="21"/>
      <c r="C24" s="21"/>
      <c r="D24" s="6">
        <f t="shared" si="2"/>
        <v>0</v>
      </c>
      <c r="E24" s="41"/>
      <c r="F24" s="21"/>
      <c r="G24" s="6">
        <f>E24+F24</f>
        <v>0</v>
      </c>
      <c r="H24" s="6">
        <f t="shared" si="1"/>
        <v>0</v>
      </c>
    </row>
    <row r="25" spans="1:8" x14ac:dyDescent="0.25">
      <c r="A25" s="4" t="s">
        <v>17</v>
      </c>
      <c r="B25" s="21">
        <v>-261.08999999999997</v>
      </c>
      <c r="C25" s="21"/>
      <c r="D25" s="6">
        <f t="shared" si="2"/>
        <v>-261.08999999999997</v>
      </c>
      <c r="E25" s="41">
        <v>260.94</v>
      </c>
      <c r="F25" s="21"/>
      <c r="G25" s="6">
        <f>E25+F25</f>
        <v>260.94</v>
      </c>
      <c r="H25" s="6">
        <f t="shared" si="1"/>
        <v>-0.14999999999997726</v>
      </c>
    </row>
    <row r="26" spans="1:8" x14ac:dyDescent="0.25">
      <c r="A26" s="2" t="s">
        <v>18</v>
      </c>
      <c r="B26" s="6">
        <f>SUM(B23:B25)</f>
        <v>-261.08999999999997</v>
      </c>
      <c r="C26" s="6">
        <f>SUM(C23:C25)</f>
        <v>0</v>
      </c>
      <c r="D26" s="6">
        <f t="shared" si="2"/>
        <v>-261.08999999999997</v>
      </c>
      <c r="E26" s="48">
        <f>SUM(E23:E25)</f>
        <v>260.94</v>
      </c>
      <c r="F26" s="6">
        <f>SUM(F23:F25)</f>
        <v>0</v>
      </c>
      <c r="G26" s="6">
        <f>SUM(G23:G25)</f>
        <v>260.94</v>
      </c>
      <c r="H26" s="6">
        <f t="shared" si="1"/>
        <v>-0.14999999999997726</v>
      </c>
    </row>
    <row r="28" spans="1:8" x14ac:dyDescent="0.25">
      <c r="A28" s="2" t="s">
        <v>19</v>
      </c>
      <c r="B28" s="6">
        <f>B20+B26</f>
        <v>-261.08999999999997</v>
      </c>
      <c r="C28" s="6">
        <f>C20+C26</f>
        <v>0</v>
      </c>
      <c r="D28" s="6">
        <f t="shared" si="2"/>
        <v>-261.08999999999997</v>
      </c>
      <c r="E28" s="48">
        <f>E20+E26</f>
        <v>260.94</v>
      </c>
      <c r="F28" s="6">
        <f>F20+F26</f>
        <v>0</v>
      </c>
      <c r="G28" s="6">
        <f>G20+G26</f>
        <v>260.94</v>
      </c>
      <c r="H28" s="6">
        <f t="shared" si="1"/>
        <v>-0.14999999999997726</v>
      </c>
    </row>
    <row r="30" spans="1:8" x14ac:dyDescent="0.25">
      <c r="A30" s="3" t="s">
        <v>20</v>
      </c>
      <c r="E30" s="54"/>
      <c r="F30" s="25"/>
    </row>
    <row r="31" spans="1:8" x14ac:dyDescent="0.25">
      <c r="A31" s="4" t="s">
        <v>21</v>
      </c>
      <c r="B31" s="21"/>
      <c r="C31" s="21"/>
      <c r="D31" s="6">
        <f t="shared" si="2"/>
        <v>0</v>
      </c>
      <c r="E31" s="41">
        <v>297558.03000000003</v>
      </c>
      <c r="F31" s="21"/>
      <c r="G31" s="6">
        <f>E31+F31</f>
        <v>297558.03000000003</v>
      </c>
      <c r="H31" s="6">
        <f t="shared" si="1"/>
        <v>297558.03000000003</v>
      </c>
    </row>
    <row r="32" spans="1:8" x14ac:dyDescent="0.25">
      <c r="A32" s="4" t="s">
        <v>22</v>
      </c>
      <c r="B32" s="21"/>
      <c r="C32" s="21"/>
      <c r="D32" s="6">
        <f t="shared" si="2"/>
        <v>0</v>
      </c>
      <c r="E32" s="41">
        <v>1000</v>
      </c>
      <c r="F32" s="21"/>
      <c r="G32" s="6">
        <f>E32+F32</f>
        <v>1000</v>
      </c>
      <c r="H32" s="6">
        <f t="shared" si="1"/>
        <v>1000</v>
      </c>
    </row>
    <row r="33" spans="1:8" x14ac:dyDescent="0.25">
      <c r="A33" s="4" t="s">
        <v>23</v>
      </c>
      <c r="B33" s="21"/>
      <c r="C33" s="21"/>
      <c r="D33" s="6">
        <f t="shared" si="2"/>
        <v>0</v>
      </c>
      <c r="E33" s="41">
        <v>4.33</v>
      </c>
      <c r="F33" s="21"/>
      <c r="G33" s="6">
        <f>E33+F33</f>
        <v>4.33</v>
      </c>
      <c r="H33" s="6">
        <f t="shared" si="1"/>
        <v>4.33</v>
      </c>
    </row>
    <row r="34" spans="1:8" x14ac:dyDescent="0.25">
      <c r="A34" s="4" t="s">
        <v>24</v>
      </c>
      <c r="B34" s="21"/>
      <c r="C34" s="21"/>
      <c r="D34" s="6">
        <f t="shared" si="2"/>
        <v>0</v>
      </c>
      <c r="E34" s="41"/>
      <c r="F34" s="21"/>
      <c r="G34" s="6">
        <f>E34+F34</f>
        <v>0</v>
      </c>
      <c r="H34" s="6">
        <f t="shared" si="1"/>
        <v>0</v>
      </c>
    </row>
    <row r="35" spans="1:8" x14ac:dyDescent="0.25">
      <c r="A35" s="2" t="s">
        <v>25</v>
      </c>
      <c r="B35" s="6">
        <f>SUM(B31:B34)</f>
        <v>0</v>
      </c>
      <c r="C35" s="6">
        <f>SUM(C31:C34)</f>
        <v>0</v>
      </c>
      <c r="D35" s="6">
        <f t="shared" si="2"/>
        <v>0</v>
      </c>
      <c r="E35" s="48">
        <f>SUM(E31:E34)</f>
        <v>298562.36000000004</v>
      </c>
      <c r="F35" s="6">
        <f>SUM(F31:F34)</f>
        <v>0</v>
      </c>
      <c r="G35" s="6">
        <f>SUM(G31:G34)</f>
        <v>298562.36000000004</v>
      </c>
      <c r="H35" s="6">
        <f t="shared" si="1"/>
        <v>298562.36000000004</v>
      </c>
    </row>
    <row r="37" spans="1:8" x14ac:dyDescent="0.25">
      <c r="A37" s="3" t="s">
        <v>26</v>
      </c>
    </row>
    <row r="38" spans="1:8" x14ac:dyDescent="0.25">
      <c r="A38" s="4" t="s">
        <v>27</v>
      </c>
      <c r="B38" s="62"/>
      <c r="C38" s="21"/>
      <c r="D38" s="6">
        <f t="shared" si="2"/>
        <v>0</v>
      </c>
      <c r="E38" s="87"/>
      <c r="F38" s="21"/>
      <c r="G38" s="6">
        <f t="shared" ref="G38:G44" si="3">E38+F38</f>
        <v>0</v>
      </c>
      <c r="H38" s="6">
        <f t="shared" si="1"/>
        <v>0</v>
      </c>
    </row>
    <row r="39" spans="1:8" x14ac:dyDescent="0.25">
      <c r="A39" s="4" t="s">
        <v>28</v>
      </c>
      <c r="B39" s="62"/>
      <c r="C39" s="21"/>
      <c r="D39" s="6">
        <f t="shared" si="2"/>
        <v>0</v>
      </c>
      <c r="E39" s="87"/>
      <c r="F39" s="21"/>
      <c r="G39" s="6">
        <f t="shared" si="3"/>
        <v>0</v>
      </c>
      <c r="H39" s="6">
        <f t="shared" si="1"/>
        <v>0</v>
      </c>
    </row>
    <row r="40" spans="1:8" x14ac:dyDescent="0.25">
      <c r="A40" s="4" t="s">
        <v>29</v>
      </c>
      <c r="B40" s="62"/>
      <c r="C40" s="21"/>
      <c r="D40" s="6">
        <f t="shared" si="2"/>
        <v>0</v>
      </c>
      <c r="E40" s="87"/>
      <c r="F40" s="21"/>
      <c r="G40" s="6">
        <f t="shared" si="3"/>
        <v>0</v>
      </c>
      <c r="H40" s="6">
        <f t="shared" si="1"/>
        <v>0</v>
      </c>
    </row>
    <row r="41" spans="1:8" x14ac:dyDescent="0.25">
      <c r="A41" s="4" t="s">
        <v>30</v>
      </c>
      <c r="B41" s="62"/>
      <c r="C41" s="21"/>
      <c r="D41" s="6">
        <f t="shared" si="2"/>
        <v>0</v>
      </c>
      <c r="E41" s="87"/>
      <c r="F41" s="21"/>
      <c r="G41" s="6">
        <f t="shared" si="3"/>
        <v>0</v>
      </c>
      <c r="H41" s="6">
        <f t="shared" si="1"/>
        <v>0</v>
      </c>
    </row>
    <row r="42" spans="1:8" x14ac:dyDescent="0.25">
      <c r="A42" s="4" t="s">
        <v>31</v>
      </c>
      <c r="B42" s="62"/>
      <c r="C42" s="21"/>
      <c r="D42" s="6">
        <f t="shared" si="2"/>
        <v>0</v>
      </c>
      <c r="E42" s="87"/>
      <c r="F42" s="21"/>
      <c r="G42" s="6">
        <f>E42+F42</f>
        <v>0</v>
      </c>
      <c r="H42" s="6">
        <f t="shared" si="1"/>
        <v>0</v>
      </c>
    </row>
    <row r="43" spans="1:8" x14ac:dyDescent="0.25">
      <c r="A43" s="4" t="s">
        <v>62</v>
      </c>
      <c r="B43" s="21">
        <v>0</v>
      </c>
      <c r="C43" s="21"/>
      <c r="D43" s="6">
        <f t="shared" si="2"/>
        <v>0</v>
      </c>
      <c r="E43" s="41">
        <v>298562.36</v>
      </c>
      <c r="F43" s="21"/>
      <c r="G43" s="6">
        <f>E43+F43</f>
        <v>298562.36</v>
      </c>
      <c r="H43" s="6">
        <f t="shared" si="1"/>
        <v>298562.36</v>
      </c>
    </row>
    <row r="44" spans="1:8" x14ac:dyDescent="0.25">
      <c r="A44" s="2" t="s">
        <v>32</v>
      </c>
      <c r="B44" s="6">
        <f>SUM(B38:B43)</f>
        <v>0</v>
      </c>
      <c r="C44" s="6">
        <f>SUM(C38:C43)</f>
        <v>0</v>
      </c>
      <c r="D44" s="6">
        <f t="shared" si="2"/>
        <v>0</v>
      </c>
      <c r="E44" s="48">
        <f>SUM(E38:E43)</f>
        <v>298562.36</v>
      </c>
      <c r="F44" s="6">
        <f>SUM(F38:F43)</f>
        <v>0</v>
      </c>
      <c r="G44" s="6">
        <f t="shared" si="3"/>
        <v>298562.36</v>
      </c>
      <c r="H44" s="6">
        <f t="shared" si="1"/>
        <v>298562.36</v>
      </c>
    </row>
    <row r="46" spans="1:8" x14ac:dyDescent="0.25">
      <c r="A46" s="2" t="s">
        <v>33</v>
      </c>
      <c r="B46" s="6">
        <f>B35-B44</f>
        <v>0</v>
      </c>
      <c r="C46" s="6">
        <f>C35-C44</f>
        <v>0</v>
      </c>
      <c r="D46" s="6">
        <f t="shared" si="2"/>
        <v>0</v>
      </c>
      <c r="E46" s="48">
        <f>E35-E44</f>
        <v>0</v>
      </c>
      <c r="F46" s="6">
        <f>F35-F44</f>
        <v>0</v>
      </c>
      <c r="G46" s="6">
        <f>G35-G44</f>
        <v>0</v>
      </c>
      <c r="H46" s="6">
        <f t="shared" si="1"/>
        <v>0</v>
      </c>
    </row>
    <row r="48" spans="1:8" x14ac:dyDescent="0.25">
      <c r="A48" t="s">
        <v>301</v>
      </c>
      <c r="B48" s="21"/>
      <c r="C48" s="21"/>
      <c r="D48" s="6">
        <f t="shared" si="2"/>
        <v>0</v>
      </c>
      <c r="E48" s="41"/>
      <c r="F48" s="21"/>
      <c r="G48" s="6">
        <f>E48+F48</f>
        <v>0</v>
      </c>
      <c r="H48" s="6">
        <f t="shared" si="1"/>
        <v>0</v>
      </c>
    </row>
    <row r="49" spans="1:8" x14ac:dyDescent="0.25">
      <c r="A49" t="s">
        <v>34</v>
      </c>
      <c r="B49" s="21"/>
      <c r="C49" s="21"/>
      <c r="D49" s="6">
        <f t="shared" si="2"/>
        <v>0</v>
      </c>
      <c r="E49" s="41"/>
      <c r="F49" s="21"/>
      <c r="G49" s="6">
        <f>E49+F49</f>
        <v>0</v>
      </c>
      <c r="H49" s="6">
        <f t="shared" si="1"/>
        <v>0</v>
      </c>
    </row>
    <row r="50" spans="1:8" x14ac:dyDescent="0.25">
      <c r="A50" t="s">
        <v>35</v>
      </c>
      <c r="B50" s="21"/>
      <c r="C50" s="21"/>
      <c r="D50" s="6">
        <f t="shared" si="2"/>
        <v>0</v>
      </c>
      <c r="E50" s="41"/>
      <c r="F50" s="21"/>
      <c r="G50" s="6">
        <f>E50+F50</f>
        <v>0</v>
      </c>
      <c r="H50" s="6">
        <f t="shared" si="1"/>
        <v>0</v>
      </c>
    </row>
    <row r="51" spans="1:8" x14ac:dyDescent="0.25">
      <c r="A51" s="2" t="s">
        <v>36</v>
      </c>
      <c r="B51" s="6">
        <f>B48+B49-B50</f>
        <v>0</v>
      </c>
      <c r="C51" s="6">
        <f>C48+C49-C50</f>
        <v>0</v>
      </c>
      <c r="D51" s="6">
        <f t="shared" si="2"/>
        <v>0</v>
      </c>
      <c r="E51" s="48">
        <f>E48+E49-E50</f>
        <v>0</v>
      </c>
      <c r="F51" s="6">
        <f>F48+F49-F50</f>
        <v>0</v>
      </c>
      <c r="G51" s="6">
        <f>E51+F51</f>
        <v>0</v>
      </c>
      <c r="H51" s="6">
        <f t="shared" si="1"/>
        <v>0</v>
      </c>
    </row>
    <row r="53" spans="1:8" x14ac:dyDescent="0.25">
      <c r="A53" s="2" t="s">
        <v>37</v>
      </c>
      <c r="B53" s="6">
        <f t="shared" ref="B53:G53" si="4">B46+B51</f>
        <v>0</v>
      </c>
      <c r="C53" s="6">
        <f t="shared" si="4"/>
        <v>0</v>
      </c>
      <c r="D53" s="6">
        <f t="shared" si="4"/>
        <v>0</v>
      </c>
      <c r="E53" s="48">
        <f t="shared" si="4"/>
        <v>0</v>
      </c>
      <c r="F53" s="6">
        <f t="shared" si="4"/>
        <v>0</v>
      </c>
      <c r="G53" s="6">
        <f t="shared" si="4"/>
        <v>0</v>
      </c>
      <c r="H53" s="6">
        <f t="shared" si="1"/>
        <v>0</v>
      </c>
    </row>
    <row r="54" spans="1:8" x14ac:dyDescent="0.25">
      <c r="A54" t="s">
        <v>38</v>
      </c>
      <c r="B54" s="6">
        <f t="shared" ref="B54:G54" si="5">B55-B53</f>
        <v>-261.08999999999997</v>
      </c>
      <c r="C54" s="6">
        <f t="shared" si="5"/>
        <v>0</v>
      </c>
      <c r="D54" s="6">
        <f t="shared" si="5"/>
        <v>-261.08999999999997</v>
      </c>
      <c r="E54" s="48">
        <f t="shared" si="5"/>
        <v>260.94</v>
      </c>
      <c r="F54" s="6">
        <f t="shared" si="5"/>
        <v>0</v>
      </c>
      <c r="G54" s="6">
        <f t="shared" si="5"/>
        <v>260.94</v>
      </c>
      <c r="H54" s="6">
        <f t="shared" si="1"/>
        <v>-0.14999999999997726</v>
      </c>
    </row>
    <row r="55" spans="1:8" x14ac:dyDescent="0.25">
      <c r="A55" s="2" t="s">
        <v>39</v>
      </c>
      <c r="B55" s="6">
        <f t="shared" ref="B55:G55" si="6">B26</f>
        <v>-261.08999999999997</v>
      </c>
      <c r="C55" s="6">
        <f t="shared" si="6"/>
        <v>0</v>
      </c>
      <c r="D55" s="6">
        <f t="shared" si="6"/>
        <v>-261.08999999999997</v>
      </c>
      <c r="E55" s="48">
        <f t="shared" si="6"/>
        <v>260.94</v>
      </c>
      <c r="F55" s="6">
        <f t="shared" si="6"/>
        <v>0</v>
      </c>
      <c r="G55" s="6">
        <f t="shared" si="6"/>
        <v>260.94</v>
      </c>
      <c r="H55" s="6">
        <f t="shared" si="1"/>
        <v>-0.14999999999997726</v>
      </c>
    </row>
  </sheetData>
  <customSheetViews>
    <customSheetView guid="{E68B3865-8D72-47E7-BE32-0FF7EB09E889}" fitToPage="1">
      <pane xSplit="1" ySplit="7" topLeftCell="B38" activePane="bottomRight" state="frozen"/>
      <selection pane="bottomRight" activeCell="A4" sqref="A4"/>
      <pageMargins left="0.7" right="0.7" top="0.75" bottom="0.75" header="0.3" footer="0.3"/>
      <pageSetup scale="73" orientation="portrait" horizontalDpi="1200" r:id="rId1"/>
    </customSheetView>
    <customSheetView guid="{2B2709E2-6DF4-4CC4-88D0-056FB306137C}" fitToPage="1">
      <pane xSplit="1" ySplit="7" topLeftCell="B29" activePane="bottomRight" state="frozen"/>
      <selection pane="bottomRight" activeCell="B50" sqref="B50"/>
      <pageMargins left="0.7" right="0.7" top="0.75" bottom="0.75" header="0.3" footer="0.3"/>
      <pageSetup scale="73" orientation="portrait" horizontalDpi="1200" r:id="rId2"/>
    </customSheetView>
    <customSheetView guid="{EC03C3C8-7E57-47C6-8413-F484E8C46A0C}" showPageBreaks="1" fitToPage="1" topLeftCell="A33">
      <selection activeCell="B50" sqref="B50"/>
      <pageMargins left="0.7" right="0.7" top="0.75" bottom="0.75" header="0.3" footer="0.3"/>
      <pageSetup scale="73" orientation="portrait" horizontalDpi="1200" r:id="rId3"/>
    </customSheetView>
    <customSheetView guid="{D62C3EC3-27D1-41F3-9A4E-06307CA202CE}" showPageBreaks="1" fitToPage="1" showRuler="0" topLeftCell="A43">
      <selection activeCell="E43" sqref="E43"/>
      <pageMargins left="0.7" right="0.7" top="0.75" bottom="0.75" header="0.3" footer="0.3"/>
      <pageSetup scale="73" orientation="portrait" horizontalDpi="1200" r:id="rId4"/>
      <headerFooter alignWithMargins="0"/>
    </customSheetView>
    <customSheetView guid="{A6F79E61-D6A3-44FD-B4A4-4724DF74349B}" showPageBreaks="1" fitToPage="1">
      <selection activeCell="E9" sqref="E9"/>
      <pageMargins left="0.7" right="0.7" top="0.75" bottom="0.75" header="0.3" footer="0.3"/>
      <pageSetup scale="72" orientation="portrait" horizontalDpi="1200" r:id="rId5"/>
    </customSheetView>
    <customSheetView guid="{DE6E911D-85BF-467A-AA00-1E84C5349CF7}" showPageBreaks="1" fitToPage="1">
      <selection activeCell="B49" sqref="B49"/>
      <pageMargins left="0.7" right="0.7" top="0.75" bottom="0.75" header="0.3" footer="0.3"/>
      <pageSetup scale="72" orientation="portrait" r:id="rId6"/>
    </customSheetView>
  </customSheetViews>
  <phoneticPr fontId="0" type="noConversion"/>
  <pageMargins left="0.7" right="0.7" top="0.75" bottom="0.75" header="0.3" footer="0.3"/>
  <pageSetup scale="73" orientation="portrait" horizontalDpi="1200" r:id="rId7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1"/>
  <sheetViews>
    <sheetView workbookViewId="0">
      <pane xSplit="1" ySplit="7" topLeftCell="B59" activePane="bottomRight" state="frozen"/>
      <selection pane="topRight" activeCell="B1" sqref="B1"/>
      <selection pane="bottomLeft" activeCell="A8" sqref="A8"/>
      <selection pane="bottomRight" activeCell="A4" sqref="A4"/>
    </sheetView>
  </sheetViews>
  <sheetFormatPr defaultRowHeight="15" outlineLevelCol="1" x14ac:dyDescent="0.25"/>
  <cols>
    <col min="1" max="1" width="31" customWidth="1"/>
    <col min="2" max="2" width="12.7109375" style="48" bestFit="1" customWidth="1" outlineLevel="1"/>
    <col min="3" max="3" width="13.5703125" style="6" bestFit="1" customWidth="1" outlineLevel="1"/>
    <col min="4" max="4" width="13.5703125" style="6" bestFit="1" customWidth="1"/>
    <col min="5" max="5" width="12.7109375" style="6" bestFit="1" customWidth="1" outlineLevel="1"/>
    <col min="6" max="6" width="13.5703125" style="6" bestFit="1" customWidth="1" outlineLevel="1"/>
    <col min="7" max="7" width="13.5703125" style="6" bestFit="1" customWidth="1"/>
    <col min="8" max="8" width="12.7109375" style="6" bestFit="1" customWidth="1"/>
    <col min="9" max="10" width="11.85546875" style="6" customWidth="1"/>
    <col min="11" max="11" width="14" style="6" customWidth="1"/>
    <col min="12" max="13" width="11.140625" style="6" bestFit="1" customWidth="1"/>
    <col min="14" max="14" width="9.140625" style="6"/>
    <col min="15" max="15" width="13.5703125" style="6" bestFit="1" customWidth="1"/>
    <col min="16" max="16" width="12.7109375" bestFit="1" customWidth="1"/>
  </cols>
  <sheetData>
    <row r="1" spans="1:15" ht="23.25" x14ac:dyDescent="0.35">
      <c r="A1" s="5" t="s">
        <v>93</v>
      </c>
    </row>
    <row r="2" spans="1:15" x14ac:dyDescent="0.25">
      <c r="A2" t="s">
        <v>1</v>
      </c>
    </row>
    <row r="3" spans="1:15" x14ac:dyDescent="0.25">
      <c r="A3" s="1">
        <v>43435</v>
      </c>
    </row>
    <row r="4" spans="1:15" x14ac:dyDescent="0.25">
      <c r="A4" s="1"/>
    </row>
    <row r="5" spans="1:15" ht="45" x14ac:dyDescent="0.25">
      <c r="A5" s="1"/>
      <c r="B5" s="49" t="s">
        <v>94</v>
      </c>
      <c r="C5" s="7" t="s">
        <v>47</v>
      </c>
      <c r="D5" s="7" t="s">
        <v>95</v>
      </c>
      <c r="E5" s="7" t="s">
        <v>96</v>
      </c>
      <c r="F5" s="7" t="s">
        <v>47</v>
      </c>
      <c r="G5" s="7" t="s">
        <v>95</v>
      </c>
      <c r="H5" s="7" t="s">
        <v>83</v>
      </c>
      <c r="I5" s="7"/>
      <c r="J5" s="7"/>
      <c r="K5" s="7"/>
      <c r="L5" s="7"/>
      <c r="M5" s="7"/>
      <c r="N5" s="7"/>
      <c r="O5" s="7"/>
    </row>
    <row r="7" spans="1:15" x14ac:dyDescent="0.25">
      <c r="A7" s="3" t="s">
        <v>2</v>
      </c>
    </row>
    <row r="8" spans="1:15" x14ac:dyDescent="0.25">
      <c r="A8" s="4" t="s">
        <v>3</v>
      </c>
      <c r="B8" s="41">
        <v>25534.7</v>
      </c>
      <c r="C8" s="21"/>
      <c r="D8" s="6">
        <f>B8+C8</f>
        <v>25534.7</v>
      </c>
      <c r="E8" s="21"/>
      <c r="F8" s="21"/>
      <c r="G8" s="55">
        <f>E8+F8</f>
        <v>0</v>
      </c>
      <c r="H8" s="6">
        <f t="shared" ref="H8:H71" si="0">D8+G8</f>
        <v>25534.7</v>
      </c>
    </row>
    <row r="9" spans="1:15" x14ac:dyDescent="0.25">
      <c r="A9" s="4" t="s">
        <v>4</v>
      </c>
      <c r="B9" s="56">
        <v>1501</v>
      </c>
      <c r="C9" s="21"/>
      <c r="D9" s="6">
        <f t="shared" ref="D9:D67" si="1">B9+C9</f>
        <v>1501</v>
      </c>
      <c r="E9" s="21"/>
      <c r="F9" s="21"/>
      <c r="G9" s="6">
        <f t="shared" ref="G9:G67" si="2">E9+F9</f>
        <v>0</v>
      </c>
      <c r="H9" s="6">
        <f t="shared" si="0"/>
        <v>1501</v>
      </c>
    </row>
    <row r="10" spans="1:15" x14ac:dyDescent="0.25">
      <c r="A10" s="4" t="s">
        <v>6</v>
      </c>
      <c r="B10" s="41">
        <v>1956.21</v>
      </c>
      <c r="C10" s="21"/>
      <c r="D10" s="6">
        <f t="shared" si="1"/>
        <v>1956.21</v>
      </c>
      <c r="E10" s="21"/>
      <c r="F10" s="21"/>
      <c r="G10" s="6">
        <f t="shared" si="2"/>
        <v>0</v>
      </c>
      <c r="H10" s="6">
        <f t="shared" si="0"/>
        <v>1956.21</v>
      </c>
    </row>
    <row r="11" spans="1:15" x14ac:dyDescent="0.25">
      <c r="A11" s="4" t="s">
        <v>5</v>
      </c>
      <c r="B11" s="41">
        <v>4759</v>
      </c>
      <c r="C11" s="21"/>
      <c r="D11" s="6">
        <f t="shared" si="1"/>
        <v>4759</v>
      </c>
      <c r="E11" s="21"/>
      <c r="F11" s="21"/>
      <c r="G11" s="6">
        <f t="shared" si="2"/>
        <v>0</v>
      </c>
      <c r="H11" s="6">
        <f t="shared" si="0"/>
        <v>4759</v>
      </c>
    </row>
    <row r="12" spans="1:15" x14ac:dyDescent="0.25">
      <c r="A12" s="4" t="s">
        <v>61</v>
      </c>
      <c r="B12" s="41"/>
      <c r="C12" s="21"/>
      <c r="D12" s="6">
        <f t="shared" si="1"/>
        <v>0</v>
      </c>
      <c r="E12" s="21"/>
      <c r="F12" s="21"/>
      <c r="G12" s="6">
        <f t="shared" si="2"/>
        <v>0</v>
      </c>
      <c r="H12" s="6">
        <f t="shared" si="0"/>
        <v>0</v>
      </c>
    </row>
    <row r="13" spans="1:15" x14ac:dyDescent="0.25">
      <c r="A13" s="2" t="s">
        <v>7</v>
      </c>
      <c r="B13" s="48">
        <f>SUM(B8:B12)</f>
        <v>33750.910000000003</v>
      </c>
      <c r="C13" s="6">
        <f t="shared" ref="C13:H13" si="3">SUM(C8:C12)</f>
        <v>0</v>
      </c>
      <c r="D13" s="6">
        <f t="shared" si="3"/>
        <v>33750.910000000003</v>
      </c>
      <c r="E13" s="6">
        <f t="shared" si="3"/>
        <v>0</v>
      </c>
      <c r="F13" s="6">
        <f t="shared" si="3"/>
        <v>0</v>
      </c>
      <c r="G13" s="6">
        <f t="shared" si="3"/>
        <v>0</v>
      </c>
      <c r="H13" s="6">
        <f t="shared" si="3"/>
        <v>33750.910000000003</v>
      </c>
    </row>
    <row r="15" spans="1:15" x14ac:dyDescent="0.25">
      <c r="A15" s="3" t="s">
        <v>8</v>
      </c>
    </row>
    <row r="16" spans="1:15" x14ac:dyDescent="0.25">
      <c r="A16" s="4" t="s">
        <v>9</v>
      </c>
      <c r="B16" s="41">
        <v>145.21</v>
      </c>
      <c r="C16" s="21"/>
      <c r="D16" s="6">
        <f t="shared" si="1"/>
        <v>145.21</v>
      </c>
      <c r="E16" s="21"/>
      <c r="F16" s="21"/>
      <c r="G16" s="6">
        <f t="shared" si="2"/>
        <v>0</v>
      </c>
      <c r="H16" s="6">
        <f t="shared" si="0"/>
        <v>145.21</v>
      </c>
    </row>
    <row r="17" spans="1:8" x14ac:dyDescent="0.25">
      <c r="A17" s="4" t="s">
        <v>10</v>
      </c>
      <c r="B17" s="41"/>
      <c r="C17" s="21"/>
      <c r="D17" s="6">
        <f t="shared" si="1"/>
        <v>0</v>
      </c>
      <c r="E17" s="21"/>
      <c r="F17" s="21"/>
      <c r="G17" s="6">
        <f t="shared" si="2"/>
        <v>0</v>
      </c>
      <c r="H17" s="6">
        <f t="shared" si="0"/>
        <v>0</v>
      </c>
    </row>
    <row r="18" spans="1:8" x14ac:dyDescent="0.25">
      <c r="A18" s="4" t="s">
        <v>190</v>
      </c>
      <c r="B18" s="41"/>
      <c r="C18" s="21"/>
      <c r="D18" s="6">
        <f t="shared" si="1"/>
        <v>0</v>
      </c>
      <c r="E18" s="21"/>
      <c r="F18" s="21"/>
      <c r="G18" s="6">
        <f t="shared" si="2"/>
        <v>0</v>
      </c>
      <c r="H18" s="6">
        <f t="shared" si="0"/>
        <v>0</v>
      </c>
    </row>
    <row r="19" spans="1:8" x14ac:dyDescent="0.25">
      <c r="A19" s="4" t="s">
        <v>12</v>
      </c>
      <c r="B19" s="41">
        <v>42072</v>
      </c>
      <c r="C19" s="21">
        <v>-8466</v>
      </c>
      <c r="D19" s="6">
        <f t="shared" si="1"/>
        <v>33606</v>
      </c>
      <c r="E19" s="21"/>
      <c r="F19" s="21"/>
      <c r="G19" s="6">
        <f t="shared" si="2"/>
        <v>0</v>
      </c>
      <c r="H19" s="6">
        <f t="shared" si="0"/>
        <v>33606</v>
      </c>
    </row>
    <row r="20" spans="1:8" x14ac:dyDescent="0.25">
      <c r="A20" s="2" t="s">
        <v>13</v>
      </c>
      <c r="B20" s="48">
        <f>SUM(B16:B19)</f>
        <v>42217.21</v>
      </c>
      <c r="C20" s="6">
        <f>SUM(C16:C19)</f>
        <v>-8466</v>
      </c>
      <c r="D20" s="6">
        <f t="shared" si="1"/>
        <v>33751.21</v>
      </c>
      <c r="E20" s="6">
        <f>SUM(E16:E19)</f>
        <v>0</v>
      </c>
      <c r="F20" s="6">
        <f>SUM(F16:F19)</f>
        <v>0</v>
      </c>
      <c r="G20" s="6">
        <f t="shared" si="2"/>
        <v>0</v>
      </c>
      <c r="H20" s="6">
        <f t="shared" si="0"/>
        <v>33751.21</v>
      </c>
    </row>
    <row r="22" spans="1:8" x14ac:dyDescent="0.25">
      <c r="A22" s="3" t="s">
        <v>14</v>
      </c>
    </row>
    <row r="23" spans="1:8" x14ac:dyDescent="0.25">
      <c r="A23" s="4" t="s">
        <v>371</v>
      </c>
      <c r="B23" s="87"/>
      <c r="C23" s="62"/>
      <c r="D23" s="6">
        <f t="shared" si="1"/>
        <v>0</v>
      </c>
      <c r="E23" s="62"/>
      <c r="F23" s="62"/>
      <c r="G23" s="6">
        <f t="shared" si="2"/>
        <v>0</v>
      </c>
      <c r="H23" s="6">
        <f t="shared" si="0"/>
        <v>0</v>
      </c>
    </row>
    <row r="24" spans="1:8" x14ac:dyDescent="0.25">
      <c r="A24" s="90" t="s">
        <v>370</v>
      </c>
      <c r="B24" s="87"/>
      <c r="C24" s="62"/>
      <c r="D24" s="6">
        <f t="shared" si="1"/>
        <v>0</v>
      </c>
      <c r="E24" s="62"/>
      <c r="F24" s="62"/>
      <c r="G24" s="6">
        <f t="shared" si="2"/>
        <v>0</v>
      </c>
      <c r="H24" s="6">
        <f t="shared" si="0"/>
        <v>0</v>
      </c>
    </row>
    <row r="25" spans="1:8" x14ac:dyDescent="0.25">
      <c r="A25" s="90" t="s">
        <v>31</v>
      </c>
      <c r="B25" s="87"/>
      <c r="C25" s="62"/>
      <c r="D25" s="6">
        <f t="shared" si="1"/>
        <v>0</v>
      </c>
      <c r="E25" s="62"/>
      <c r="F25" s="62"/>
      <c r="G25" s="6">
        <f t="shared" si="2"/>
        <v>0</v>
      </c>
      <c r="H25" s="6">
        <f t="shared" si="0"/>
        <v>0</v>
      </c>
    </row>
    <row r="26" spans="1:8" x14ac:dyDescent="0.25">
      <c r="A26" s="90" t="s">
        <v>334</v>
      </c>
      <c r="B26" s="87"/>
      <c r="C26" s="62"/>
      <c r="D26" s="6">
        <f t="shared" si="1"/>
        <v>0</v>
      </c>
      <c r="E26" s="62"/>
      <c r="F26" s="62"/>
      <c r="G26" s="6">
        <f t="shared" si="2"/>
        <v>0</v>
      </c>
      <c r="H26" s="6">
        <f t="shared" si="0"/>
        <v>0</v>
      </c>
    </row>
    <row r="27" spans="1:8" x14ac:dyDescent="0.25">
      <c r="A27" s="90" t="s">
        <v>335</v>
      </c>
      <c r="B27" s="87"/>
      <c r="C27" s="62"/>
      <c r="D27" s="6">
        <f t="shared" si="1"/>
        <v>0</v>
      </c>
      <c r="E27" s="62"/>
      <c r="F27" s="62"/>
      <c r="G27" s="6">
        <f t="shared" si="2"/>
        <v>0</v>
      </c>
      <c r="H27" s="6">
        <f t="shared" si="0"/>
        <v>0</v>
      </c>
    </row>
    <row r="28" spans="1:8" x14ac:dyDescent="0.25">
      <c r="A28" s="90" t="s">
        <v>336</v>
      </c>
      <c r="B28" s="87"/>
      <c r="C28" s="62"/>
      <c r="D28" s="6">
        <f t="shared" si="1"/>
        <v>0</v>
      </c>
      <c r="E28" s="62"/>
      <c r="F28" s="62"/>
      <c r="G28" s="6">
        <f t="shared" si="2"/>
        <v>0</v>
      </c>
      <c r="H28" s="6">
        <f t="shared" si="0"/>
        <v>0</v>
      </c>
    </row>
    <row r="29" spans="1:8" x14ac:dyDescent="0.25">
      <c r="A29" s="90" t="s">
        <v>337</v>
      </c>
      <c r="B29" s="87"/>
      <c r="C29" s="62"/>
      <c r="D29" s="6">
        <f t="shared" si="1"/>
        <v>0</v>
      </c>
      <c r="E29" s="62"/>
      <c r="F29" s="62"/>
      <c r="G29" s="6">
        <f t="shared" si="2"/>
        <v>0</v>
      </c>
      <c r="H29" s="6">
        <f t="shared" si="0"/>
        <v>0</v>
      </c>
    </row>
    <row r="30" spans="1:8" x14ac:dyDescent="0.25">
      <c r="A30" s="90" t="s">
        <v>338</v>
      </c>
      <c r="B30" s="87"/>
      <c r="C30" s="62"/>
      <c r="D30" s="6">
        <f t="shared" si="1"/>
        <v>0</v>
      </c>
      <c r="E30" s="62"/>
      <c r="F30" s="62"/>
      <c r="G30" s="6">
        <f t="shared" si="2"/>
        <v>0</v>
      </c>
      <c r="H30" s="6">
        <f t="shared" si="0"/>
        <v>0</v>
      </c>
    </row>
    <row r="31" spans="1:8" x14ac:dyDescent="0.25">
      <c r="A31" s="90" t="s">
        <v>363</v>
      </c>
      <c r="B31" s="87"/>
      <c r="C31" s="62"/>
      <c r="D31" s="6">
        <f t="shared" si="1"/>
        <v>0</v>
      </c>
      <c r="E31" s="62"/>
      <c r="F31" s="62"/>
      <c r="G31" s="6">
        <f t="shared" si="2"/>
        <v>0</v>
      </c>
      <c r="H31" s="6">
        <f t="shared" si="0"/>
        <v>0</v>
      </c>
    </row>
    <row r="32" spans="1:8" x14ac:dyDescent="0.25">
      <c r="A32" s="90" t="s">
        <v>340</v>
      </c>
      <c r="B32" s="87"/>
      <c r="C32" s="62"/>
      <c r="D32" s="6">
        <f t="shared" si="1"/>
        <v>0</v>
      </c>
      <c r="E32" s="62"/>
      <c r="F32" s="62"/>
      <c r="G32" s="6">
        <f t="shared" si="2"/>
        <v>0</v>
      </c>
      <c r="H32" s="6">
        <f t="shared" si="0"/>
        <v>0</v>
      </c>
    </row>
    <row r="33" spans="1:8" x14ac:dyDescent="0.25">
      <c r="A33" s="90" t="s">
        <v>364</v>
      </c>
      <c r="B33" s="87"/>
      <c r="C33" s="62"/>
      <c r="D33" s="6">
        <f t="shared" si="1"/>
        <v>0</v>
      </c>
      <c r="E33" s="62"/>
      <c r="F33" s="62"/>
      <c r="G33" s="6">
        <f t="shared" si="2"/>
        <v>0</v>
      </c>
      <c r="H33" s="6">
        <f t="shared" si="0"/>
        <v>0</v>
      </c>
    </row>
    <row r="34" spans="1:8" x14ac:dyDescent="0.25">
      <c r="A34" s="90" t="s">
        <v>365</v>
      </c>
      <c r="B34" s="87"/>
      <c r="C34" s="62"/>
      <c r="D34" s="6">
        <f t="shared" si="1"/>
        <v>0</v>
      </c>
      <c r="E34" s="62"/>
      <c r="F34" s="62"/>
      <c r="G34" s="6">
        <f t="shared" si="2"/>
        <v>0</v>
      </c>
      <c r="H34" s="6">
        <f t="shared" si="0"/>
        <v>0</v>
      </c>
    </row>
    <row r="35" spans="1:8" x14ac:dyDescent="0.25">
      <c r="A35" s="4" t="s">
        <v>366</v>
      </c>
      <c r="B35" s="87"/>
      <c r="C35" s="62"/>
      <c r="D35" s="6">
        <f t="shared" si="1"/>
        <v>0</v>
      </c>
      <c r="E35" s="62"/>
      <c r="F35" s="62"/>
      <c r="G35" s="6">
        <f t="shared" si="2"/>
        <v>0</v>
      </c>
      <c r="H35" s="6">
        <f t="shared" si="0"/>
        <v>0</v>
      </c>
    </row>
    <row r="36" spans="1:8" x14ac:dyDescent="0.25">
      <c r="A36" s="90" t="s">
        <v>372</v>
      </c>
      <c r="B36" s="87"/>
      <c r="C36" s="62"/>
      <c r="D36" s="6">
        <f t="shared" si="1"/>
        <v>0</v>
      </c>
      <c r="E36" s="62"/>
      <c r="F36" s="62"/>
      <c r="G36" s="6">
        <f t="shared" si="2"/>
        <v>0</v>
      </c>
      <c r="H36" s="6">
        <f t="shared" si="0"/>
        <v>0</v>
      </c>
    </row>
    <row r="37" spans="1:8" x14ac:dyDescent="0.25">
      <c r="A37" s="90" t="s">
        <v>367</v>
      </c>
      <c r="B37" s="87"/>
      <c r="C37" s="62"/>
      <c r="D37" s="6">
        <f t="shared" si="1"/>
        <v>0</v>
      </c>
      <c r="E37" s="62"/>
      <c r="F37" s="62"/>
      <c r="G37" s="6">
        <f t="shared" si="2"/>
        <v>0</v>
      </c>
      <c r="H37" s="6">
        <f t="shared" si="0"/>
        <v>0</v>
      </c>
    </row>
    <row r="38" spans="1:8" x14ac:dyDescent="0.25">
      <c r="A38" s="90" t="s">
        <v>368</v>
      </c>
      <c r="B38" s="87"/>
      <c r="C38" s="62"/>
      <c r="D38" s="6">
        <f t="shared" si="1"/>
        <v>0</v>
      </c>
      <c r="E38" s="62"/>
      <c r="F38" s="62"/>
      <c r="G38" s="6">
        <f t="shared" si="2"/>
        <v>0</v>
      </c>
      <c r="H38" s="6">
        <f t="shared" si="0"/>
        <v>0</v>
      </c>
    </row>
    <row r="39" spans="1:8" x14ac:dyDescent="0.25">
      <c r="A39" s="90" t="s">
        <v>346</v>
      </c>
      <c r="B39" s="41">
        <v>-8466.2999999999993</v>
      </c>
      <c r="C39" s="21">
        <v>8466</v>
      </c>
      <c r="D39" s="6">
        <f t="shared" si="1"/>
        <v>-0.2999999999992724</v>
      </c>
      <c r="E39" s="21"/>
      <c r="F39" s="21"/>
      <c r="G39" s="6">
        <f t="shared" si="2"/>
        <v>0</v>
      </c>
      <c r="H39" s="6">
        <f t="shared" si="0"/>
        <v>-0.2999999999992724</v>
      </c>
    </row>
    <row r="40" spans="1:8" x14ac:dyDescent="0.25">
      <c r="A40" s="4" t="s">
        <v>17</v>
      </c>
      <c r="B40" s="87"/>
      <c r="C40" s="62"/>
      <c r="D40" s="6">
        <f t="shared" si="1"/>
        <v>0</v>
      </c>
      <c r="E40" s="62"/>
      <c r="F40" s="62"/>
      <c r="G40" s="6">
        <f t="shared" si="2"/>
        <v>0</v>
      </c>
      <c r="H40" s="6">
        <f t="shared" si="0"/>
        <v>0</v>
      </c>
    </row>
    <row r="41" spans="1:8" x14ac:dyDescent="0.25">
      <c r="A41" s="2" t="s">
        <v>18</v>
      </c>
      <c r="B41" s="48">
        <f>SUM(B23:B40)</f>
        <v>-8466.2999999999993</v>
      </c>
      <c r="C41" s="48">
        <f>SUM(C23:C40)</f>
        <v>8466</v>
      </c>
      <c r="D41" s="6">
        <f t="shared" si="1"/>
        <v>-0.2999999999992724</v>
      </c>
      <c r="E41" s="6">
        <f>SUM(E23:E40)</f>
        <v>0</v>
      </c>
      <c r="F41" s="6">
        <f>SUM(F23:F40)</f>
        <v>0</v>
      </c>
      <c r="G41" s="6">
        <f t="shared" si="2"/>
        <v>0</v>
      </c>
      <c r="H41" s="6">
        <f t="shared" si="0"/>
        <v>-0.2999999999992724</v>
      </c>
    </row>
    <row r="43" spans="1:8" x14ac:dyDescent="0.25">
      <c r="A43" s="2" t="s">
        <v>19</v>
      </c>
      <c r="B43" s="48">
        <f>B20+B41</f>
        <v>33750.910000000003</v>
      </c>
      <c r="C43" s="6">
        <f>C20+C41</f>
        <v>0</v>
      </c>
      <c r="D43" s="6">
        <f t="shared" si="1"/>
        <v>33750.910000000003</v>
      </c>
      <c r="E43" s="6">
        <f>E20+E41</f>
        <v>0</v>
      </c>
      <c r="F43" s="6">
        <f>F20+F41</f>
        <v>0</v>
      </c>
      <c r="G43" s="6">
        <f t="shared" si="2"/>
        <v>0</v>
      </c>
      <c r="H43" s="6">
        <f t="shared" si="0"/>
        <v>33750.910000000003</v>
      </c>
    </row>
    <row r="45" spans="1:8" x14ac:dyDescent="0.25">
      <c r="A45" s="3" t="s">
        <v>20</v>
      </c>
    </row>
    <row r="46" spans="1:8" x14ac:dyDescent="0.25">
      <c r="A46" s="4" t="s">
        <v>21</v>
      </c>
      <c r="B46" s="41">
        <f>25460+2550</f>
        <v>28010</v>
      </c>
      <c r="C46" s="21">
        <v>8466</v>
      </c>
      <c r="D46" s="6">
        <f t="shared" si="1"/>
        <v>36476</v>
      </c>
      <c r="E46" s="21"/>
      <c r="F46" s="21"/>
      <c r="G46" s="6">
        <f t="shared" si="2"/>
        <v>0</v>
      </c>
      <c r="H46" s="6">
        <f t="shared" si="0"/>
        <v>36476</v>
      </c>
    </row>
    <row r="47" spans="1:8" x14ac:dyDescent="0.25">
      <c r="A47" s="4" t="s">
        <v>22</v>
      </c>
      <c r="B47" s="41"/>
      <c r="C47" s="21"/>
      <c r="D47" s="6">
        <f t="shared" si="1"/>
        <v>0</v>
      </c>
      <c r="E47" s="21"/>
      <c r="F47" s="21"/>
      <c r="G47" s="6">
        <f t="shared" si="2"/>
        <v>0</v>
      </c>
      <c r="H47" s="6">
        <f t="shared" si="0"/>
        <v>0</v>
      </c>
    </row>
    <row r="48" spans="1:8" x14ac:dyDescent="0.25">
      <c r="A48" s="4" t="s">
        <v>202</v>
      </c>
      <c r="B48" s="41"/>
      <c r="C48" s="21"/>
      <c r="D48" s="6">
        <f t="shared" si="1"/>
        <v>0</v>
      </c>
      <c r="E48" s="21"/>
      <c r="F48" s="21"/>
      <c r="G48" s="6">
        <f t="shared" si="2"/>
        <v>0</v>
      </c>
      <c r="H48" s="6">
        <f t="shared" si="0"/>
        <v>0</v>
      </c>
    </row>
    <row r="49" spans="1:8" x14ac:dyDescent="0.25">
      <c r="A49" s="4" t="s">
        <v>23</v>
      </c>
      <c r="B49" s="41"/>
      <c r="C49" s="21"/>
      <c r="D49" s="6">
        <f t="shared" si="1"/>
        <v>0</v>
      </c>
      <c r="E49" s="21"/>
      <c r="F49" s="21"/>
      <c r="G49" s="6">
        <f t="shared" si="2"/>
        <v>0</v>
      </c>
      <c r="H49" s="6">
        <f t="shared" si="0"/>
        <v>0</v>
      </c>
    </row>
    <row r="50" spans="1:8" x14ac:dyDescent="0.25">
      <c r="A50" s="4" t="s">
        <v>24</v>
      </c>
      <c r="B50" s="41"/>
      <c r="C50" s="21"/>
      <c r="D50" s="6">
        <f t="shared" si="1"/>
        <v>0</v>
      </c>
      <c r="E50" s="21"/>
      <c r="F50" s="21"/>
      <c r="G50" s="6">
        <f t="shared" si="2"/>
        <v>0</v>
      </c>
      <c r="H50" s="6">
        <f t="shared" si="0"/>
        <v>0</v>
      </c>
    </row>
    <row r="51" spans="1:8" x14ac:dyDescent="0.25">
      <c r="A51" s="2" t="s">
        <v>25</v>
      </c>
      <c r="B51" s="48">
        <f>SUM(B46:B50)</f>
        <v>28010</v>
      </c>
      <c r="C51" s="6">
        <f>SUM(C46:C50)</f>
        <v>8466</v>
      </c>
      <c r="D51" s="6">
        <f t="shared" si="1"/>
        <v>36476</v>
      </c>
      <c r="E51" s="6">
        <f>SUM(E46:E50)</f>
        <v>0</v>
      </c>
      <c r="F51" s="6">
        <f>SUM(F46:F50)</f>
        <v>0</v>
      </c>
      <c r="G51" s="6">
        <f t="shared" si="2"/>
        <v>0</v>
      </c>
      <c r="H51" s="6">
        <f t="shared" si="0"/>
        <v>36476</v>
      </c>
    </row>
    <row r="53" spans="1:8" x14ac:dyDescent="0.25">
      <c r="A53" s="3" t="s">
        <v>26</v>
      </c>
    </row>
    <row r="54" spans="1:8" x14ac:dyDescent="0.25">
      <c r="A54" s="4" t="s">
        <v>27</v>
      </c>
      <c r="B54" s="87"/>
      <c r="C54" s="21"/>
      <c r="D54" s="6">
        <f t="shared" si="1"/>
        <v>0</v>
      </c>
      <c r="E54" s="62"/>
      <c r="F54" s="21"/>
      <c r="G54" s="6">
        <f t="shared" si="2"/>
        <v>0</v>
      </c>
      <c r="H54" s="6">
        <f t="shared" si="0"/>
        <v>0</v>
      </c>
    </row>
    <row r="55" spans="1:8" x14ac:dyDescent="0.25">
      <c r="A55" s="4" t="s">
        <v>28</v>
      </c>
      <c r="B55" s="87"/>
      <c r="C55" s="21"/>
      <c r="D55" s="6">
        <f t="shared" si="1"/>
        <v>0</v>
      </c>
      <c r="E55" s="62"/>
      <c r="F55" s="21"/>
      <c r="G55" s="6">
        <f t="shared" si="2"/>
        <v>0</v>
      </c>
      <c r="H55" s="6">
        <f t="shared" si="0"/>
        <v>0</v>
      </c>
    </row>
    <row r="56" spans="1:8" x14ac:dyDescent="0.25">
      <c r="A56" s="4" t="s">
        <v>29</v>
      </c>
      <c r="B56" s="87"/>
      <c r="C56" s="21"/>
      <c r="D56" s="6">
        <f t="shared" si="1"/>
        <v>0</v>
      </c>
      <c r="E56" s="62"/>
      <c r="F56" s="21"/>
      <c r="G56" s="6">
        <f t="shared" si="2"/>
        <v>0</v>
      </c>
      <c r="H56" s="6">
        <f t="shared" si="0"/>
        <v>0</v>
      </c>
    </row>
    <row r="57" spans="1:8" x14ac:dyDescent="0.25">
      <c r="A57" s="4" t="s">
        <v>30</v>
      </c>
      <c r="B57" s="87"/>
      <c r="C57" s="21"/>
      <c r="D57" s="6">
        <f t="shared" si="1"/>
        <v>0</v>
      </c>
      <c r="E57" s="62"/>
      <c r="F57" s="21"/>
      <c r="G57" s="6">
        <f t="shared" si="2"/>
        <v>0</v>
      </c>
      <c r="H57" s="6">
        <f t="shared" si="0"/>
        <v>0</v>
      </c>
    </row>
    <row r="58" spans="1:8" x14ac:dyDescent="0.25">
      <c r="A58" s="4" t="s">
        <v>31</v>
      </c>
      <c r="B58" s="41">
        <v>30546.19</v>
      </c>
      <c r="C58" s="21"/>
      <c r="D58" s="6">
        <f t="shared" si="1"/>
        <v>30546.19</v>
      </c>
      <c r="E58" s="21"/>
      <c r="F58" s="21"/>
      <c r="G58" s="6">
        <f t="shared" si="2"/>
        <v>0</v>
      </c>
      <c r="H58" s="6">
        <f t="shared" si="0"/>
        <v>30546.19</v>
      </c>
    </row>
    <row r="59" spans="1:8" x14ac:dyDescent="0.25">
      <c r="A59" s="4" t="s">
        <v>62</v>
      </c>
      <c r="B59" s="87"/>
      <c r="C59" s="21"/>
      <c r="D59" s="6">
        <f t="shared" si="1"/>
        <v>0</v>
      </c>
      <c r="E59" s="62"/>
      <c r="F59" s="21"/>
      <c r="G59" s="6">
        <f t="shared" si="2"/>
        <v>0</v>
      </c>
      <c r="H59" s="6">
        <f t="shared" si="0"/>
        <v>0</v>
      </c>
    </row>
    <row r="60" spans="1:8" x14ac:dyDescent="0.25">
      <c r="A60" s="2" t="s">
        <v>32</v>
      </c>
      <c r="B60" s="48">
        <f>SUM(B54:B59)</f>
        <v>30546.19</v>
      </c>
      <c r="C60" s="6">
        <f>SUM(C54:C59)</f>
        <v>0</v>
      </c>
      <c r="D60" s="6">
        <f t="shared" si="1"/>
        <v>30546.19</v>
      </c>
      <c r="E60" s="6">
        <f>SUM(E54:E59)</f>
        <v>0</v>
      </c>
      <c r="F60" s="6">
        <f>SUM(F54:F59)</f>
        <v>0</v>
      </c>
      <c r="G60" s="6">
        <f t="shared" si="2"/>
        <v>0</v>
      </c>
      <c r="H60" s="6">
        <f t="shared" si="0"/>
        <v>30546.19</v>
      </c>
    </row>
    <row r="62" spans="1:8" x14ac:dyDescent="0.25">
      <c r="A62" s="2" t="s">
        <v>33</v>
      </c>
      <c r="B62" s="48">
        <f>B51-B60</f>
        <v>-2536.1899999999987</v>
      </c>
      <c r="C62" s="6">
        <f>C51-C60</f>
        <v>8466</v>
      </c>
      <c r="D62" s="6">
        <f t="shared" si="1"/>
        <v>5929.8100000000013</v>
      </c>
      <c r="E62" s="6">
        <f>E51-E60</f>
        <v>0</v>
      </c>
      <c r="F62" s="6">
        <f>F51-F60</f>
        <v>0</v>
      </c>
      <c r="G62" s="6">
        <f t="shared" si="2"/>
        <v>0</v>
      </c>
      <c r="H62" s="6">
        <f t="shared" si="0"/>
        <v>5929.8100000000013</v>
      </c>
    </row>
    <row r="63" spans="1:8" x14ac:dyDescent="0.25">
      <c r="A63" s="2"/>
    </row>
    <row r="64" spans="1:8" x14ac:dyDescent="0.25">
      <c r="A64" s="38" t="s">
        <v>301</v>
      </c>
      <c r="B64" s="41"/>
      <c r="C64" s="21"/>
      <c r="D64" s="6">
        <f t="shared" si="1"/>
        <v>0</v>
      </c>
      <c r="E64" s="21"/>
      <c r="F64" s="21"/>
      <c r="G64" s="6">
        <f t="shared" si="2"/>
        <v>0</v>
      </c>
      <c r="H64" s="6">
        <f t="shared" si="0"/>
        <v>0</v>
      </c>
    </row>
    <row r="65" spans="1:8" x14ac:dyDescent="0.25">
      <c r="A65" t="s">
        <v>34</v>
      </c>
      <c r="B65" s="41"/>
      <c r="C65" s="21"/>
      <c r="D65" s="6">
        <f t="shared" si="1"/>
        <v>0</v>
      </c>
      <c r="E65" s="21"/>
      <c r="F65" s="21"/>
      <c r="G65" s="6">
        <f t="shared" si="2"/>
        <v>0</v>
      </c>
      <c r="H65" s="6">
        <f t="shared" si="0"/>
        <v>0</v>
      </c>
    </row>
    <row r="66" spans="1:8" x14ac:dyDescent="0.25">
      <c r="A66" t="s">
        <v>35</v>
      </c>
      <c r="B66" s="41">
        <v>5929.85</v>
      </c>
      <c r="C66" s="21"/>
      <c r="D66" s="6">
        <f t="shared" si="1"/>
        <v>5929.85</v>
      </c>
      <c r="E66" s="21"/>
      <c r="F66" s="21"/>
      <c r="G66" s="6">
        <f t="shared" si="2"/>
        <v>0</v>
      </c>
      <c r="H66" s="6">
        <f t="shared" si="0"/>
        <v>5929.85</v>
      </c>
    </row>
    <row r="67" spans="1:8" x14ac:dyDescent="0.25">
      <c r="A67" s="2" t="s">
        <v>36</v>
      </c>
      <c r="B67" s="48">
        <f>B64+B65-B66</f>
        <v>-5929.85</v>
      </c>
      <c r="C67" s="6">
        <f>C64+C65-C66</f>
        <v>0</v>
      </c>
      <c r="D67" s="6">
        <f t="shared" si="1"/>
        <v>-5929.85</v>
      </c>
      <c r="E67" s="6">
        <f>E64+E65-E66</f>
        <v>0</v>
      </c>
      <c r="F67" s="6">
        <f>F64+F65-F66</f>
        <v>0</v>
      </c>
      <c r="G67" s="6">
        <f t="shared" si="2"/>
        <v>0</v>
      </c>
      <c r="H67" s="6">
        <f t="shared" si="0"/>
        <v>-5929.85</v>
      </c>
    </row>
    <row r="69" spans="1:8" x14ac:dyDescent="0.25">
      <c r="A69" s="2" t="s">
        <v>37</v>
      </c>
      <c r="B69" s="48">
        <f t="shared" ref="B69:G69" si="4">B62+B67</f>
        <v>-8466.0399999999991</v>
      </c>
      <c r="C69" s="6">
        <f t="shared" si="4"/>
        <v>8466</v>
      </c>
      <c r="D69" s="6">
        <f t="shared" si="4"/>
        <v>-3.9999999999054126E-2</v>
      </c>
      <c r="E69" s="6">
        <f t="shared" si="4"/>
        <v>0</v>
      </c>
      <c r="F69" s="6">
        <f t="shared" si="4"/>
        <v>0</v>
      </c>
      <c r="G69" s="6">
        <f t="shared" si="4"/>
        <v>0</v>
      </c>
      <c r="H69" s="6">
        <f t="shared" si="0"/>
        <v>-3.9999999999054126E-2</v>
      </c>
    </row>
    <row r="70" spans="1:8" x14ac:dyDescent="0.25">
      <c r="A70" t="s">
        <v>38</v>
      </c>
      <c r="B70" s="48">
        <f t="shared" ref="B70:G70" si="5">B71-B69</f>
        <v>-0.26000000000021828</v>
      </c>
      <c r="C70" s="6">
        <f t="shared" si="5"/>
        <v>0</v>
      </c>
      <c r="D70" s="6">
        <f t="shared" si="5"/>
        <v>-0.26000000000021828</v>
      </c>
      <c r="E70" s="6">
        <f t="shared" si="5"/>
        <v>0</v>
      </c>
      <c r="F70" s="6">
        <f t="shared" si="5"/>
        <v>0</v>
      </c>
      <c r="G70" s="6">
        <f t="shared" si="5"/>
        <v>0</v>
      </c>
      <c r="H70" s="6">
        <f t="shared" si="0"/>
        <v>-0.26000000000021828</v>
      </c>
    </row>
    <row r="71" spans="1:8" x14ac:dyDescent="0.25">
      <c r="A71" s="2" t="s">
        <v>39</v>
      </c>
      <c r="B71" s="48">
        <f t="shared" ref="B71:G71" si="6">B41</f>
        <v>-8466.2999999999993</v>
      </c>
      <c r="C71" s="6">
        <f t="shared" si="6"/>
        <v>8466</v>
      </c>
      <c r="D71" s="6">
        <f t="shared" si="6"/>
        <v>-0.2999999999992724</v>
      </c>
      <c r="E71" s="6">
        <f t="shared" si="6"/>
        <v>0</v>
      </c>
      <c r="F71" s="6">
        <f t="shared" si="6"/>
        <v>0</v>
      </c>
      <c r="G71" s="6">
        <f t="shared" si="6"/>
        <v>0</v>
      </c>
      <c r="H71" s="6">
        <f t="shared" si="0"/>
        <v>-0.2999999999992724</v>
      </c>
    </row>
  </sheetData>
  <customSheetViews>
    <customSheetView guid="{E68B3865-8D72-47E7-BE32-0FF7EB09E889}" fitToPage="1">
      <pane xSplit="1" ySplit="7" topLeftCell="B59" activePane="bottomRight" state="frozen"/>
      <selection pane="bottomRight" activeCell="A4" sqref="A4"/>
      <pageMargins left="0.7" right="0.7" top="0.75" bottom="0.75" header="0.3" footer="0.3"/>
      <pageSetup scale="73" orientation="portrait" horizontalDpi="1200" r:id="rId1"/>
    </customSheetView>
    <customSheetView guid="{2B2709E2-6DF4-4CC4-88D0-056FB306137C}" fitToPage="1">
      <pane xSplit="1" ySplit="7" topLeftCell="B41" activePane="bottomRight" state="frozen"/>
      <selection pane="bottomRight" activeCell="A70" sqref="A70"/>
      <pageMargins left="0.7" right="0.7" top="0.75" bottom="0.75" header="0.3" footer="0.3"/>
      <pageSetup scale="73" orientation="portrait" horizontalDpi="1200" r:id="rId2"/>
    </customSheetView>
    <customSheetView guid="{EC03C3C8-7E57-47C6-8413-F484E8C46A0C}" showPageBreaks="1" fitToPage="1" topLeftCell="A33">
      <selection activeCell="E50" sqref="E50"/>
      <pageMargins left="0.7" right="0.7" top="0.75" bottom="0.75" header="0.3" footer="0.3"/>
      <pageSetup scale="73" orientation="portrait" horizontalDpi="1200" r:id="rId3"/>
    </customSheetView>
    <customSheetView guid="{D62C3EC3-27D1-41F3-9A4E-06307CA202CE}" showPageBreaks="1" fitToPage="1" showRuler="0">
      <selection activeCell="E55" sqref="E55"/>
      <pageMargins left="0.7" right="0.7" top="0.75" bottom="0.75" header="0.3" footer="0.3"/>
      <pageSetup scale="73" orientation="portrait" horizontalDpi="1200" r:id="rId4"/>
      <headerFooter alignWithMargins="0"/>
    </customSheetView>
    <customSheetView guid="{A6F79E61-D6A3-44FD-B4A4-4724DF74349B}" showPageBreaks="1" fitToPage="1">
      <selection activeCell="B12" sqref="B12"/>
      <pageMargins left="0.7" right="0.7" top="0.75" bottom="0.75" header="0.3" footer="0.3"/>
      <pageSetup scale="64" orientation="portrait" horizontalDpi="1200" r:id="rId5"/>
    </customSheetView>
    <customSheetView guid="{DE6E911D-85BF-467A-AA00-1E84C5349CF7}" showPageBreaks="1" fitToPage="1">
      <selection activeCell="C66" sqref="C66"/>
      <pageMargins left="0.7" right="0.7" top="0.75" bottom="0.75" header="0.3" footer="0.3"/>
      <pageSetup scale="64" orientation="portrait" r:id="rId6"/>
    </customSheetView>
  </customSheetViews>
  <phoneticPr fontId="0" type="noConversion"/>
  <pageMargins left="0.7" right="0.7" top="0.75" bottom="0.75" header="0.3" footer="0.3"/>
  <pageSetup scale="73" orientation="portrait" horizontalDpi="1200" r:id="rId7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1"/>
  <sheetViews>
    <sheetView workbookViewId="0">
      <pane xSplit="1" ySplit="6" topLeftCell="K55" activePane="bottomRight" state="frozen"/>
      <selection pane="topRight" activeCell="B1" sqref="B1"/>
      <selection pane="bottomLeft" activeCell="A7" sqref="A7"/>
      <selection pane="bottomRight" activeCell="A4" sqref="A4"/>
    </sheetView>
  </sheetViews>
  <sheetFormatPr defaultRowHeight="15" outlineLevelCol="1" x14ac:dyDescent="0.25"/>
  <cols>
    <col min="1" max="1" width="31" customWidth="1"/>
    <col min="2" max="3" width="10.85546875" customWidth="1"/>
    <col min="4" max="4" width="12.7109375" style="6" bestFit="1" customWidth="1" outlineLevel="1"/>
    <col min="5" max="5" width="13.5703125" style="6" bestFit="1" customWidth="1" outlineLevel="1"/>
    <col min="6" max="6" width="13.5703125" style="6" bestFit="1" customWidth="1"/>
    <col min="7" max="7" width="12.7109375" style="48" bestFit="1" customWidth="1" outlineLevel="1"/>
    <col min="8" max="8" width="13.5703125" style="6" bestFit="1" customWidth="1" outlineLevel="1"/>
    <col min="9" max="9" width="13.5703125" style="6" bestFit="1" customWidth="1"/>
    <col min="10" max="12" width="13.5703125" style="6" customWidth="1"/>
    <col min="13" max="13" width="12.7109375" style="6" bestFit="1" customWidth="1" outlineLevel="1"/>
    <col min="14" max="14" width="13.5703125" style="6" bestFit="1" customWidth="1" outlineLevel="1"/>
    <col min="15" max="15" width="13.5703125" style="6" bestFit="1" customWidth="1"/>
    <col min="16" max="16" width="12.7109375" style="6" bestFit="1" customWidth="1" outlineLevel="1"/>
    <col min="17" max="17" width="13.5703125" style="6" bestFit="1" customWidth="1" outlineLevel="1"/>
    <col min="18" max="18" width="13.5703125" style="6" bestFit="1" customWidth="1"/>
    <col min="19" max="19" width="12.7109375" style="6" bestFit="1" customWidth="1" outlineLevel="1"/>
    <col min="20" max="20" width="13.5703125" style="6" bestFit="1" customWidth="1" outlineLevel="1"/>
    <col min="21" max="21" width="13.5703125" style="6" bestFit="1" customWidth="1"/>
    <col min="22" max="22" width="12.7109375" style="6" bestFit="1" customWidth="1" outlineLevel="1"/>
    <col min="23" max="23" width="13.5703125" style="6" bestFit="1" customWidth="1" outlineLevel="1"/>
    <col min="24" max="24" width="13.5703125" style="6" bestFit="1" customWidth="1"/>
    <col min="25" max="25" width="13.140625" style="6" customWidth="1"/>
    <col min="26" max="26" width="11.85546875" style="6" customWidth="1"/>
    <col min="28" max="28" width="14" style="6" customWidth="1"/>
    <col min="29" max="30" width="11.140625" style="6" bestFit="1" customWidth="1"/>
    <col min="31" max="31" width="9.140625" style="6"/>
    <col min="32" max="32" width="13.5703125" style="6" bestFit="1" customWidth="1"/>
    <col min="33" max="33" width="12.7109375" bestFit="1" customWidth="1"/>
  </cols>
  <sheetData>
    <row r="1" spans="1:32" ht="23.25" x14ac:dyDescent="0.35">
      <c r="A1" s="5" t="s">
        <v>104</v>
      </c>
      <c r="B1" s="5"/>
      <c r="C1" s="5"/>
    </row>
    <row r="2" spans="1:32" x14ac:dyDescent="0.25">
      <c r="A2" t="s">
        <v>1</v>
      </c>
    </row>
    <row r="3" spans="1:32" x14ac:dyDescent="0.25">
      <c r="A3" s="1">
        <v>43435</v>
      </c>
      <c r="B3" s="1"/>
      <c r="C3" s="1"/>
    </row>
    <row r="4" spans="1:32" x14ac:dyDescent="0.25">
      <c r="A4" s="1"/>
      <c r="B4" s="1"/>
      <c r="C4" s="1"/>
    </row>
    <row r="5" spans="1:32" ht="45" x14ac:dyDescent="0.25">
      <c r="A5" s="1"/>
      <c r="B5" s="104" t="s">
        <v>387</v>
      </c>
      <c r="C5" s="104"/>
      <c r="D5" s="7" t="s">
        <v>97</v>
      </c>
      <c r="E5" s="7" t="s">
        <v>47</v>
      </c>
      <c r="F5" s="7" t="s">
        <v>98</v>
      </c>
      <c r="G5" s="49" t="s">
        <v>99</v>
      </c>
      <c r="H5" s="7" t="s">
        <v>47</v>
      </c>
      <c r="I5" s="7" t="s">
        <v>98</v>
      </c>
      <c r="J5" s="49" t="s">
        <v>316</v>
      </c>
      <c r="K5" s="7" t="s">
        <v>47</v>
      </c>
      <c r="L5" s="7" t="s">
        <v>98</v>
      </c>
      <c r="M5" s="7" t="s">
        <v>100</v>
      </c>
      <c r="N5" s="7" t="s">
        <v>47</v>
      </c>
      <c r="O5" s="7" t="s">
        <v>98</v>
      </c>
      <c r="P5" s="7" t="s">
        <v>243</v>
      </c>
      <c r="Q5" s="7" t="s">
        <v>47</v>
      </c>
      <c r="R5" s="7" t="s">
        <v>98</v>
      </c>
      <c r="S5" s="7" t="s">
        <v>101</v>
      </c>
      <c r="T5" s="7" t="s">
        <v>47</v>
      </c>
      <c r="U5" s="7" t="s">
        <v>98</v>
      </c>
      <c r="V5" s="7" t="s">
        <v>102</v>
      </c>
      <c r="W5" s="7" t="s">
        <v>47</v>
      </c>
      <c r="X5" s="7" t="s">
        <v>98</v>
      </c>
      <c r="Y5" s="7" t="s">
        <v>103</v>
      </c>
      <c r="Z5" s="7"/>
      <c r="AB5" s="7"/>
      <c r="AC5" s="7"/>
      <c r="AD5" s="7"/>
      <c r="AE5" s="7"/>
      <c r="AF5" s="7"/>
    </row>
    <row r="6" spans="1:32" x14ac:dyDescent="0.25">
      <c r="Y6" s="7"/>
    </row>
    <row r="7" spans="1:32" x14ac:dyDescent="0.25">
      <c r="A7" s="3" t="s">
        <v>2</v>
      </c>
      <c r="B7" s="3"/>
      <c r="C7" s="105"/>
      <c r="Y7" s="7"/>
    </row>
    <row r="8" spans="1:32" x14ac:dyDescent="0.25">
      <c r="A8" s="4" t="s">
        <v>3</v>
      </c>
      <c r="B8" s="21"/>
      <c r="C8" s="25"/>
      <c r="D8" s="21">
        <v>726327.65</v>
      </c>
      <c r="E8" s="21"/>
      <c r="F8" s="6">
        <f>D8+E8</f>
        <v>726327.65</v>
      </c>
      <c r="G8" s="41">
        <v>-6709</v>
      </c>
      <c r="H8" s="21"/>
      <c r="I8" s="82">
        <f>G8+H8</f>
        <v>-6709</v>
      </c>
      <c r="J8" s="21"/>
      <c r="K8" s="21"/>
      <c r="L8" s="6">
        <f>J8+K8</f>
        <v>0</v>
      </c>
      <c r="M8" s="21">
        <v>38671.03</v>
      </c>
      <c r="N8" s="21"/>
      <c r="O8" s="6">
        <f t="shared" ref="O8:O13" si="0">M8+N8</f>
        <v>38671.03</v>
      </c>
      <c r="P8" s="21">
        <v>12704.6</v>
      </c>
      <c r="Q8" s="21"/>
      <c r="R8" s="6">
        <f t="shared" ref="R8:R13" si="1">P8+Q8</f>
        <v>12704.6</v>
      </c>
      <c r="S8" s="21"/>
      <c r="T8" s="21"/>
      <c r="U8" s="6">
        <f t="shared" ref="U8:U13" si="2">S8+T8</f>
        <v>0</v>
      </c>
      <c r="V8" s="21">
        <v>34112.660000000003</v>
      </c>
      <c r="W8" s="21"/>
      <c r="X8" s="6">
        <f t="shared" ref="X8:X13" si="3">V8+W8</f>
        <v>34112.660000000003</v>
      </c>
      <c r="Y8" s="26">
        <f>B8+F8+I8+O8+R8+U8+X8+L8</f>
        <v>805106.94000000006</v>
      </c>
    </row>
    <row r="9" spans="1:32" x14ac:dyDescent="0.25">
      <c r="A9" s="4" t="s">
        <v>4</v>
      </c>
      <c r="B9" s="21"/>
      <c r="C9" s="25"/>
      <c r="D9" s="21"/>
      <c r="E9" s="21"/>
      <c r="F9" s="6">
        <f t="shared" ref="F9:F67" si="4">D9+E9</f>
        <v>0</v>
      </c>
      <c r="G9" s="41">
        <v>218</v>
      </c>
      <c r="H9" s="21">
        <v>906</v>
      </c>
      <c r="I9" s="6">
        <f t="shared" ref="I9:I67" si="5">G9+H9</f>
        <v>1124</v>
      </c>
      <c r="J9" s="21"/>
      <c r="K9" s="21"/>
      <c r="L9" s="6">
        <f t="shared" ref="L9:L71" si="6">J9+K9</f>
        <v>0</v>
      </c>
      <c r="M9" s="21">
        <v>9406.9599999999991</v>
      </c>
      <c r="N9" s="21"/>
      <c r="O9" s="6">
        <f t="shared" si="0"/>
        <v>9406.9599999999991</v>
      </c>
      <c r="P9" s="21"/>
      <c r="Q9" s="21"/>
      <c r="R9" s="6">
        <f t="shared" si="1"/>
        <v>0</v>
      </c>
      <c r="S9" s="21"/>
      <c r="T9" s="21"/>
      <c r="U9" s="6">
        <f t="shared" si="2"/>
        <v>0</v>
      </c>
      <c r="V9" s="21">
        <v>144.62</v>
      </c>
      <c r="W9" s="21"/>
      <c r="X9" s="6">
        <f t="shared" si="3"/>
        <v>144.62</v>
      </c>
      <c r="Y9" s="26">
        <f t="shared" ref="Y9:Y67" si="7">B9+F9+I9+O9+R9+U9+X9+L9</f>
        <v>10675.58</v>
      </c>
    </row>
    <row r="10" spans="1:32" x14ac:dyDescent="0.25">
      <c r="A10" s="4" t="s">
        <v>6</v>
      </c>
      <c r="B10" s="21"/>
      <c r="C10" s="25"/>
      <c r="D10" s="21">
        <v>3348.31</v>
      </c>
      <c r="E10" s="21"/>
      <c r="F10" s="6">
        <f t="shared" si="4"/>
        <v>3348.31</v>
      </c>
      <c r="G10" s="41">
        <v>1206.8599999999999</v>
      </c>
      <c r="H10" s="21"/>
      <c r="I10" s="6">
        <f t="shared" si="5"/>
        <v>1206.8599999999999</v>
      </c>
      <c r="J10" s="21"/>
      <c r="K10" s="21"/>
      <c r="L10" s="6">
        <f t="shared" si="6"/>
        <v>0</v>
      </c>
      <c r="M10" s="21"/>
      <c r="N10" s="21"/>
      <c r="O10" s="6">
        <f t="shared" si="0"/>
        <v>0</v>
      </c>
      <c r="P10" s="21"/>
      <c r="Q10" s="21"/>
      <c r="R10" s="6">
        <f t="shared" si="1"/>
        <v>0</v>
      </c>
      <c r="S10" s="21"/>
      <c r="T10" s="21"/>
      <c r="U10" s="6">
        <f t="shared" si="2"/>
        <v>0</v>
      </c>
      <c r="V10" s="21">
        <v>605.11</v>
      </c>
      <c r="W10" s="21"/>
      <c r="X10" s="6">
        <f t="shared" si="3"/>
        <v>605.11</v>
      </c>
      <c r="Y10" s="26">
        <f t="shared" si="7"/>
        <v>5160.28</v>
      </c>
    </row>
    <row r="11" spans="1:32" x14ac:dyDescent="0.25">
      <c r="A11" s="4" t="s">
        <v>5</v>
      </c>
      <c r="B11" s="21"/>
      <c r="C11" s="25"/>
      <c r="D11" s="21"/>
      <c r="E11" s="21"/>
      <c r="F11" s="6">
        <f t="shared" si="4"/>
        <v>0</v>
      </c>
      <c r="G11" s="41">
        <v>7907</v>
      </c>
      <c r="H11" s="21"/>
      <c r="I11" s="6">
        <f t="shared" si="5"/>
        <v>7907</v>
      </c>
      <c r="J11" s="21"/>
      <c r="K11" s="21"/>
      <c r="L11" s="6">
        <f t="shared" si="6"/>
        <v>0</v>
      </c>
      <c r="M11" s="21"/>
      <c r="N11" s="21"/>
      <c r="O11" s="6">
        <f t="shared" si="0"/>
        <v>0</v>
      </c>
      <c r="P11" s="21">
        <v>7749.51</v>
      </c>
      <c r="Q11" s="21"/>
      <c r="R11" s="6">
        <f t="shared" si="1"/>
        <v>7749.51</v>
      </c>
      <c r="S11" s="21"/>
      <c r="T11" s="21"/>
      <c r="U11" s="6">
        <f t="shared" si="2"/>
        <v>0</v>
      </c>
      <c r="V11" s="21"/>
      <c r="W11" s="21"/>
      <c r="X11" s="6">
        <f t="shared" si="3"/>
        <v>0</v>
      </c>
      <c r="Y11" s="26">
        <f t="shared" si="7"/>
        <v>15656.51</v>
      </c>
    </row>
    <row r="12" spans="1:32" x14ac:dyDescent="0.25">
      <c r="A12" s="4" t="s">
        <v>61</v>
      </c>
      <c r="B12" s="21"/>
      <c r="C12" s="25"/>
      <c r="D12" s="21"/>
      <c r="E12" s="21"/>
      <c r="F12" s="6">
        <f t="shared" si="4"/>
        <v>0</v>
      </c>
      <c r="G12" s="41"/>
      <c r="H12" s="21"/>
      <c r="I12" s="6">
        <f t="shared" si="5"/>
        <v>0</v>
      </c>
      <c r="J12" s="21"/>
      <c r="K12" s="21"/>
      <c r="L12" s="6">
        <f t="shared" si="6"/>
        <v>0</v>
      </c>
      <c r="M12" s="21"/>
      <c r="N12" s="21"/>
      <c r="O12" s="6">
        <f t="shared" si="0"/>
        <v>0</v>
      </c>
      <c r="P12" s="21"/>
      <c r="Q12" s="21"/>
      <c r="R12" s="6">
        <f t="shared" si="1"/>
        <v>0</v>
      </c>
      <c r="S12" s="21"/>
      <c r="T12" s="21"/>
      <c r="U12" s="6">
        <f t="shared" si="2"/>
        <v>0</v>
      </c>
      <c r="V12" s="21"/>
      <c r="W12" s="21"/>
      <c r="X12" s="6">
        <f t="shared" si="3"/>
        <v>0</v>
      </c>
      <c r="Y12" s="26">
        <f t="shared" si="7"/>
        <v>0</v>
      </c>
    </row>
    <row r="13" spans="1:32" x14ac:dyDescent="0.25">
      <c r="A13" s="2" t="s">
        <v>7</v>
      </c>
      <c r="B13" s="6">
        <f>SUM(B8:B12)</f>
        <v>0</v>
      </c>
      <c r="C13" s="2"/>
      <c r="D13" s="6">
        <f>SUM(D8:D12)</f>
        <v>729675.96000000008</v>
      </c>
      <c r="E13" s="6">
        <f>SUM(E8:E12)</f>
        <v>0</v>
      </c>
      <c r="F13" s="6">
        <f t="shared" si="4"/>
        <v>729675.96000000008</v>
      </c>
      <c r="G13" s="48">
        <f>SUM(G8:G12)</f>
        <v>2622.8599999999997</v>
      </c>
      <c r="H13" s="6">
        <f>SUM(H8:H12)</f>
        <v>906</v>
      </c>
      <c r="I13" s="6">
        <f t="shared" si="5"/>
        <v>3528.8599999999997</v>
      </c>
      <c r="J13" s="6">
        <f>SUM(J8:J12)</f>
        <v>0</v>
      </c>
      <c r="K13" s="6">
        <f>SUM(K8:K12)</f>
        <v>0</v>
      </c>
      <c r="L13" s="6">
        <f t="shared" si="6"/>
        <v>0</v>
      </c>
      <c r="M13" s="6">
        <f>SUM(M8:M12)</f>
        <v>48077.99</v>
      </c>
      <c r="N13" s="6">
        <f>SUM(N8:N12)</f>
        <v>0</v>
      </c>
      <c r="O13" s="6">
        <f t="shared" si="0"/>
        <v>48077.99</v>
      </c>
      <c r="P13" s="6">
        <f>SUM(P8:P12)</f>
        <v>20454.11</v>
      </c>
      <c r="Q13" s="6">
        <f>SUM(Q8:Q12)</f>
        <v>0</v>
      </c>
      <c r="R13" s="6">
        <f t="shared" si="1"/>
        <v>20454.11</v>
      </c>
      <c r="S13" s="6">
        <f>SUM(S8:S12)</f>
        <v>0</v>
      </c>
      <c r="T13" s="6">
        <f>SUM(T8:T12)</f>
        <v>0</v>
      </c>
      <c r="U13" s="6">
        <f t="shared" si="2"/>
        <v>0</v>
      </c>
      <c r="V13" s="6">
        <f>SUM(V8:V12)</f>
        <v>34862.390000000007</v>
      </c>
      <c r="W13" s="6">
        <f>SUM(W8:W12)</f>
        <v>0</v>
      </c>
      <c r="X13" s="6">
        <f t="shared" si="3"/>
        <v>34862.390000000007</v>
      </c>
      <c r="Y13" s="26">
        <f t="shared" si="7"/>
        <v>836599.31</v>
      </c>
    </row>
    <row r="14" spans="1:32" x14ac:dyDescent="0.25">
      <c r="Y14" s="26"/>
    </row>
    <row r="15" spans="1:32" x14ac:dyDescent="0.25">
      <c r="A15" s="3" t="s">
        <v>8</v>
      </c>
      <c r="B15" s="3"/>
      <c r="C15" s="3"/>
      <c r="Y15" s="26"/>
    </row>
    <row r="16" spans="1:32" x14ac:dyDescent="0.25">
      <c r="A16" s="4" t="s">
        <v>9</v>
      </c>
      <c r="B16" s="21"/>
      <c r="C16" s="4"/>
      <c r="D16" s="21">
        <v>28191.81</v>
      </c>
      <c r="E16" s="21"/>
      <c r="F16" s="6">
        <f t="shared" si="4"/>
        <v>28191.81</v>
      </c>
      <c r="G16" s="41">
        <v>2002</v>
      </c>
      <c r="H16" s="21"/>
      <c r="I16" s="6">
        <f t="shared" si="5"/>
        <v>2002</v>
      </c>
      <c r="J16" s="21"/>
      <c r="K16" s="21"/>
      <c r="L16" s="6">
        <f t="shared" si="6"/>
        <v>0</v>
      </c>
      <c r="M16" s="21">
        <v>22720.560000000001</v>
      </c>
      <c r="N16" s="21"/>
      <c r="O16" s="6">
        <f>M16+N16</f>
        <v>22720.560000000001</v>
      </c>
      <c r="P16" s="21"/>
      <c r="Q16" s="21"/>
      <c r="R16" s="6">
        <f>P16+Q16</f>
        <v>0</v>
      </c>
      <c r="S16" s="21"/>
      <c r="T16" s="21"/>
      <c r="U16" s="6">
        <f>S16+T16</f>
        <v>0</v>
      </c>
      <c r="V16" s="21"/>
      <c r="W16" s="21"/>
      <c r="X16" s="6">
        <f>V16+W16</f>
        <v>0</v>
      </c>
      <c r="Y16" s="26">
        <f t="shared" si="7"/>
        <v>52914.37</v>
      </c>
    </row>
    <row r="17" spans="1:25" x14ac:dyDescent="0.25">
      <c r="A17" s="4" t="s">
        <v>10</v>
      </c>
      <c r="B17" s="21"/>
      <c r="C17" s="4"/>
      <c r="D17" s="21">
        <v>13770.91</v>
      </c>
      <c r="E17" s="21"/>
      <c r="F17" s="6">
        <f t="shared" si="4"/>
        <v>13770.91</v>
      </c>
      <c r="G17" s="41">
        <v>1529</v>
      </c>
      <c r="H17" s="21"/>
      <c r="I17" s="6">
        <f t="shared" si="5"/>
        <v>1529</v>
      </c>
      <c r="J17" s="21"/>
      <c r="K17" s="21"/>
      <c r="L17" s="6">
        <f t="shared" si="6"/>
        <v>0</v>
      </c>
      <c r="M17" s="21">
        <v>273.27999999999997</v>
      </c>
      <c r="N17" s="21"/>
      <c r="O17" s="6">
        <f>M17+N17</f>
        <v>273.27999999999997</v>
      </c>
      <c r="P17" s="21">
        <v>1366.32</v>
      </c>
      <c r="Q17" s="21"/>
      <c r="R17" s="6">
        <f>P17+Q17</f>
        <v>1366.32</v>
      </c>
      <c r="S17" s="21"/>
      <c r="T17" s="21"/>
      <c r="U17" s="6">
        <f>S17+T17</f>
        <v>0</v>
      </c>
      <c r="V17" s="21"/>
      <c r="W17" s="21"/>
      <c r="X17" s="6">
        <f>V17+W17</f>
        <v>0</v>
      </c>
      <c r="Y17" s="26">
        <f t="shared" si="7"/>
        <v>16939.510000000002</v>
      </c>
    </row>
    <row r="18" spans="1:25" x14ac:dyDescent="0.25">
      <c r="A18" s="4" t="s">
        <v>190</v>
      </c>
      <c r="B18" s="21"/>
      <c r="C18" s="4"/>
      <c r="D18" s="21"/>
      <c r="E18" s="21"/>
      <c r="F18" s="6">
        <f t="shared" si="4"/>
        <v>0</v>
      </c>
      <c r="G18" s="41"/>
      <c r="H18" s="21"/>
      <c r="I18" s="6">
        <f t="shared" si="5"/>
        <v>0</v>
      </c>
      <c r="J18" s="21"/>
      <c r="K18" s="21"/>
      <c r="L18" s="6">
        <f t="shared" si="6"/>
        <v>0</v>
      </c>
      <c r="M18" s="21"/>
      <c r="N18" s="21"/>
      <c r="O18" s="6">
        <f>M18+N18</f>
        <v>0</v>
      </c>
      <c r="P18" s="21"/>
      <c r="Q18" s="21"/>
      <c r="R18" s="6">
        <f>P18+Q18</f>
        <v>0</v>
      </c>
      <c r="S18" s="21"/>
      <c r="T18" s="21"/>
      <c r="U18" s="6">
        <f>S18+T18</f>
        <v>0</v>
      </c>
      <c r="V18" s="21"/>
      <c r="W18" s="21"/>
      <c r="X18" s="6">
        <f>V18+W18</f>
        <v>0</v>
      </c>
      <c r="Y18" s="26">
        <f t="shared" si="7"/>
        <v>0</v>
      </c>
    </row>
    <row r="19" spans="1:25" x14ac:dyDescent="0.25">
      <c r="A19" s="4" t="s">
        <v>12</v>
      </c>
      <c r="B19" s="21"/>
      <c r="C19" s="4"/>
      <c r="D19" s="21">
        <v>652354.4</v>
      </c>
      <c r="E19" s="21">
        <v>35357</v>
      </c>
      <c r="F19" s="6">
        <f t="shared" si="4"/>
        <v>687711.4</v>
      </c>
      <c r="G19" s="41">
        <v>2986</v>
      </c>
      <c r="H19" s="21">
        <v>-2986</v>
      </c>
      <c r="I19" s="6">
        <f t="shared" si="5"/>
        <v>0</v>
      </c>
      <c r="J19" s="21"/>
      <c r="K19" s="21"/>
      <c r="L19" s="6">
        <f t="shared" si="6"/>
        <v>0</v>
      </c>
      <c r="M19" s="21">
        <v>16747</v>
      </c>
      <c r="N19" s="21">
        <v>8336</v>
      </c>
      <c r="O19" s="6">
        <f>M19+N19</f>
        <v>25083</v>
      </c>
      <c r="P19" s="21">
        <v>38020</v>
      </c>
      <c r="Q19" s="21">
        <v>-18931</v>
      </c>
      <c r="R19" s="6">
        <f>P19+Q19</f>
        <v>19089</v>
      </c>
      <c r="S19" s="21"/>
      <c r="T19" s="21"/>
      <c r="U19" s="6">
        <f>S19+T19</f>
        <v>0</v>
      </c>
      <c r="V19" s="21">
        <v>17495.169999999998</v>
      </c>
      <c r="W19" s="21"/>
      <c r="X19" s="6">
        <f>V19+W19</f>
        <v>17495.169999999998</v>
      </c>
      <c r="Y19" s="26">
        <f t="shared" si="7"/>
        <v>749378.57000000007</v>
      </c>
    </row>
    <row r="20" spans="1:25" x14ac:dyDescent="0.25">
      <c r="A20" s="2" t="s">
        <v>13</v>
      </c>
      <c r="B20" s="6">
        <f>SUM(B16:B19)</f>
        <v>0</v>
      </c>
      <c r="C20" s="2"/>
      <c r="D20" s="6">
        <f>SUM(D16:D19)</f>
        <v>694317.12</v>
      </c>
      <c r="E20" s="6">
        <f>SUM(E16:E19)</f>
        <v>35357</v>
      </c>
      <c r="F20" s="6">
        <f t="shared" si="4"/>
        <v>729674.12</v>
      </c>
      <c r="G20" s="48">
        <f>SUM(G16:G19)</f>
        <v>6517</v>
      </c>
      <c r="H20" s="6">
        <f>SUM(H16:H19)</f>
        <v>-2986</v>
      </c>
      <c r="I20" s="6">
        <f t="shared" si="5"/>
        <v>3531</v>
      </c>
      <c r="J20" s="6">
        <f>SUM(J16:J19)</f>
        <v>0</v>
      </c>
      <c r="K20" s="6">
        <f>SUM(K16:K19)</f>
        <v>0</v>
      </c>
      <c r="L20" s="6">
        <f t="shared" si="6"/>
        <v>0</v>
      </c>
      <c r="M20" s="6">
        <f>SUM(M16:M19)</f>
        <v>39740.839999999997</v>
      </c>
      <c r="N20" s="6">
        <f>SUM(N16:N19)</f>
        <v>8336</v>
      </c>
      <c r="O20" s="6">
        <f>M20+N20</f>
        <v>48076.84</v>
      </c>
      <c r="P20" s="6">
        <f>SUM(P16:P19)</f>
        <v>39386.32</v>
      </c>
      <c r="Q20" s="6">
        <f>SUM(Q16:Q19)</f>
        <v>-18931</v>
      </c>
      <c r="R20" s="6">
        <f>P20+Q20</f>
        <v>20455.32</v>
      </c>
      <c r="S20" s="6">
        <f>SUM(S16:S19)</f>
        <v>0</v>
      </c>
      <c r="T20" s="6">
        <f>SUM(T16:T19)</f>
        <v>0</v>
      </c>
      <c r="U20" s="6">
        <f>S20+T20</f>
        <v>0</v>
      </c>
      <c r="V20" s="6">
        <f>SUM(V16:V19)</f>
        <v>17495.169999999998</v>
      </c>
      <c r="W20" s="6">
        <f>SUM(W16:W19)</f>
        <v>0</v>
      </c>
      <c r="X20" s="6">
        <f>V20+W20</f>
        <v>17495.169999999998</v>
      </c>
      <c r="Y20" s="26">
        <f t="shared" si="7"/>
        <v>819232.45</v>
      </c>
    </row>
    <row r="21" spans="1:25" x14ac:dyDescent="0.25">
      <c r="Y21" s="26"/>
    </row>
    <row r="22" spans="1:25" x14ac:dyDescent="0.25">
      <c r="A22" s="3" t="s">
        <v>14</v>
      </c>
      <c r="B22" s="3"/>
      <c r="C22" s="3"/>
      <c r="Y22" s="26"/>
    </row>
    <row r="23" spans="1:25" x14ac:dyDescent="0.25">
      <c r="A23" s="91" t="s">
        <v>371</v>
      </c>
      <c r="B23" s="91"/>
      <c r="C23" s="91"/>
      <c r="D23" s="62"/>
      <c r="E23" s="62"/>
      <c r="F23" s="6">
        <f t="shared" si="4"/>
        <v>0</v>
      </c>
      <c r="G23" s="62"/>
      <c r="H23" s="62"/>
      <c r="I23" s="6">
        <f t="shared" si="5"/>
        <v>0</v>
      </c>
      <c r="J23" s="62"/>
      <c r="K23" s="62"/>
      <c r="L23" s="6">
        <f t="shared" si="6"/>
        <v>0</v>
      </c>
      <c r="M23" s="62"/>
      <c r="N23" s="62"/>
      <c r="O23" s="6">
        <f>M23+N23</f>
        <v>0</v>
      </c>
      <c r="P23" s="62"/>
      <c r="Q23" s="62"/>
      <c r="R23" s="6">
        <f>P23+Q23</f>
        <v>0</v>
      </c>
      <c r="S23" s="62"/>
      <c r="T23" s="62"/>
      <c r="U23" s="6">
        <f>S23+T23</f>
        <v>0</v>
      </c>
      <c r="V23" s="62"/>
      <c r="W23" s="62"/>
      <c r="X23" s="62">
        <f>V23+W23</f>
        <v>0</v>
      </c>
      <c r="Y23" s="26">
        <f t="shared" si="7"/>
        <v>0</v>
      </c>
    </row>
    <row r="24" spans="1:25" x14ac:dyDescent="0.25">
      <c r="A24" s="90" t="s">
        <v>333</v>
      </c>
      <c r="B24" s="90"/>
      <c r="C24" s="90"/>
      <c r="D24" s="62"/>
      <c r="E24" s="62"/>
      <c r="F24" s="6">
        <f t="shared" si="4"/>
        <v>0</v>
      </c>
      <c r="G24" s="62"/>
      <c r="H24" s="62"/>
      <c r="I24" s="6">
        <f t="shared" si="5"/>
        <v>0</v>
      </c>
      <c r="J24" s="62"/>
      <c r="K24" s="62"/>
      <c r="L24" s="6">
        <f t="shared" si="6"/>
        <v>0</v>
      </c>
      <c r="M24" s="62"/>
      <c r="N24" s="62"/>
      <c r="O24" s="6">
        <f t="shared" ref="O24:O40" si="8">M24+N24</f>
        <v>0</v>
      </c>
      <c r="P24" s="62"/>
      <c r="Q24" s="62"/>
      <c r="R24" s="6">
        <f t="shared" ref="R24:R40" si="9">P24+Q24</f>
        <v>0</v>
      </c>
      <c r="S24" s="62"/>
      <c r="T24" s="62"/>
      <c r="U24" s="6">
        <f t="shared" ref="U24:U39" si="10">S24+T24</f>
        <v>0</v>
      </c>
      <c r="V24" s="62"/>
      <c r="W24" s="62"/>
      <c r="X24" s="62">
        <f t="shared" ref="X24:X39" si="11">V24+W24</f>
        <v>0</v>
      </c>
      <c r="Y24" s="26">
        <f t="shared" si="7"/>
        <v>0</v>
      </c>
    </row>
    <row r="25" spans="1:25" x14ac:dyDescent="0.25">
      <c r="A25" s="90" t="s">
        <v>31</v>
      </c>
      <c r="B25" s="90"/>
      <c r="C25" s="90"/>
      <c r="D25" s="62"/>
      <c r="E25" s="62"/>
      <c r="F25" s="6">
        <f t="shared" si="4"/>
        <v>0</v>
      </c>
      <c r="G25" s="62"/>
      <c r="H25" s="62"/>
      <c r="I25" s="6">
        <f t="shared" si="5"/>
        <v>0</v>
      </c>
      <c r="J25" s="62"/>
      <c r="K25" s="62"/>
      <c r="L25" s="6">
        <f t="shared" si="6"/>
        <v>0</v>
      </c>
      <c r="M25" s="62"/>
      <c r="N25" s="62"/>
      <c r="O25" s="6">
        <f t="shared" si="8"/>
        <v>0</v>
      </c>
      <c r="P25" s="62"/>
      <c r="Q25" s="62"/>
      <c r="R25" s="6">
        <f t="shared" si="9"/>
        <v>0</v>
      </c>
      <c r="S25" s="62"/>
      <c r="T25" s="62"/>
      <c r="U25" s="6">
        <f t="shared" si="10"/>
        <v>0</v>
      </c>
      <c r="V25" s="62"/>
      <c r="W25" s="62"/>
      <c r="X25" s="62">
        <f t="shared" si="11"/>
        <v>0</v>
      </c>
      <c r="Y25" s="26">
        <f t="shared" si="7"/>
        <v>0</v>
      </c>
    </row>
    <row r="26" spans="1:25" x14ac:dyDescent="0.25">
      <c r="A26" s="90" t="s">
        <v>334</v>
      </c>
      <c r="B26" s="90"/>
      <c r="C26" s="90"/>
      <c r="D26" s="62"/>
      <c r="E26" s="62"/>
      <c r="F26" s="6">
        <f t="shared" si="4"/>
        <v>0</v>
      </c>
      <c r="G26" s="62"/>
      <c r="H26" s="62"/>
      <c r="I26" s="6">
        <f t="shared" si="5"/>
        <v>0</v>
      </c>
      <c r="J26" s="62"/>
      <c r="K26" s="62"/>
      <c r="L26" s="6">
        <f t="shared" si="6"/>
        <v>0</v>
      </c>
      <c r="M26" s="62"/>
      <c r="N26" s="62"/>
      <c r="O26" s="6">
        <f t="shared" si="8"/>
        <v>0</v>
      </c>
      <c r="P26" s="62"/>
      <c r="Q26" s="62"/>
      <c r="R26" s="6">
        <f t="shared" si="9"/>
        <v>0</v>
      </c>
      <c r="S26" s="62"/>
      <c r="T26" s="62"/>
      <c r="U26" s="6">
        <f t="shared" si="10"/>
        <v>0</v>
      </c>
      <c r="V26" s="62"/>
      <c r="W26" s="62"/>
      <c r="X26" s="62">
        <f t="shared" si="11"/>
        <v>0</v>
      </c>
      <c r="Y26" s="26">
        <f t="shared" si="7"/>
        <v>0</v>
      </c>
    </row>
    <row r="27" spans="1:25" x14ac:dyDescent="0.25">
      <c r="A27" s="90" t="s">
        <v>335</v>
      </c>
      <c r="B27" s="90"/>
      <c r="C27" s="90"/>
      <c r="D27" s="62"/>
      <c r="E27" s="62"/>
      <c r="F27" s="6">
        <f t="shared" si="4"/>
        <v>0</v>
      </c>
      <c r="G27" s="62"/>
      <c r="H27" s="62"/>
      <c r="I27" s="6">
        <f t="shared" si="5"/>
        <v>0</v>
      </c>
      <c r="J27" s="62"/>
      <c r="K27" s="62"/>
      <c r="L27" s="6">
        <f t="shared" si="6"/>
        <v>0</v>
      </c>
      <c r="M27" s="62"/>
      <c r="N27" s="62"/>
      <c r="O27" s="6">
        <f t="shared" si="8"/>
        <v>0</v>
      </c>
      <c r="P27" s="62"/>
      <c r="Q27" s="62"/>
      <c r="R27" s="6">
        <f t="shared" si="9"/>
        <v>0</v>
      </c>
      <c r="S27" s="62"/>
      <c r="T27" s="62"/>
      <c r="U27" s="6">
        <f t="shared" si="10"/>
        <v>0</v>
      </c>
      <c r="V27" s="62"/>
      <c r="W27" s="62"/>
      <c r="X27" s="62">
        <f t="shared" si="11"/>
        <v>0</v>
      </c>
      <c r="Y27" s="26">
        <f t="shared" si="7"/>
        <v>0</v>
      </c>
    </row>
    <row r="28" spans="1:25" x14ac:dyDescent="0.25">
      <c r="A28" s="90" t="s">
        <v>336</v>
      </c>
      <c r="B28" s="90"/>
      <c r="C28" s="90"/>
      <c r="D28" s="62"/>
      <c r="E28" s="62"/>
      <c r="F28" s="6">
        <f t="shared" si="4"/>
        <v>0</v>
      </c>
      <c r="G28" s="62"/>
      <c r="H28" s="62"/>
      <c r="I28" s="6">
        <f t="shared" si="5"/>
        <v>0</v>
      </c>
      <c r="J28" s="62"/>
      <c r="K28" s="62"/>
      <c r="L28" s="6">
        <f t="shared" si="6"/>
        <v>0</v>
      </c>
      <c r="M28" s="62"/>
      <c r="N28" s="62"/>
      <c r="O28" s="6">
        <f t="shared" si="8"/>
        <v>0</v>
      </c>
      <c r="P28" s="62"/>
      <c r="Q28" s="62"/>
      <c r="R28" s="6">
        <f t="shared" si="9"/>
        <v>0</v>
      </c>
      <c r="S28" s="62"/>
      <c r="T28" s="62"/>
      <c r="U28" s="6">
        <f t="shared" si="10"/>
        <v>0</v>
      </c>
      <c r="V28" s="62"/>
      <c r="W28" s="62"/>
      <c r="X28" s="62">
        <f t="shared" si="11"/>
        <v>0</v>
      </c>
      <c r="Y28" s="26">
        <f t="shared" si="7"/>
        <v>0</v>
      </c>
    </row>
    <row r="29" spans="1:25" x14ac:dyDescent="0.25">
      <c r="A29" s="90" t="s">
        <v>337</v>
      </c>
      <c r="B29" s="90"/>
      <c r="C29" s="90"/>
      <c r="D29" s="62"/>
      <c r="E29" s="62"/>
      <c r="F29" s="6">
        <f t="shared" si="4"/>
        <v>0</v>
      </c>
      <c r="G29" s="62"/>
      <c r="H29" s="62"/>
      <c r="I29" s="6">
        <f t="shared" si="5"/>
        <v>0</v>
      </c>
      <c r="J29" s="62"/>
      <c r="K29" s="62"/>
      <c r="L29" s="6">
        <f t="shared" si="6"/>
        <v>0</v>
      </c>
      <c r="M29" s="62"/>
      <c r="N29" s="62"/>
      <c r="O29" s="6">
        <f t="shared" si="8"/>
        <v>0</v>
      </c>
      <c r="P29" s="62"/>
      <c r="Q29" s="62"/>
      <c r="R29" s="6">
        <f t="shared" si="9"/>
        <v>0</v>
      </c>
      <c r="S29" s="62"/>
      <c r="T29" s="62"/>
      <c r="U29" s="6">
        <f t="shared" si="10"/>
        <v>0</v>
      </c>
      <c r="V29" s="62"/>
      <c r="W29" s="62"/>
      <c r="X29" s="62">
        <f t="shared" si="11"/>
        <v>0</v>
      </c>
      <c r="Y29" s="26">
        <f t="shared" si="7"/>
        <v>0</v>
      </c>
    </row>
    <row r="30" spans="1:25" x14ac:dyDescent="0.25">
      <c r="A30" s="90" t="s">
        <v>338</v>
      </c>
      <c r="B30" s="90"/>
      <c r="C30" s="90"/>
      <c r="D30" s="62"/>
      <c r="E30" s="62"/>
      <c r="F30" s="6">
        <f t="shared" si="4"/>
        <v>0</v>
      </c>
      <c r="G30" s="62"/>
      <c r="H30" s="62"/>
      <c r="I30" s="6">
        <f t="shared" si="5"/>
        <v>0</v>
      </c>
      <c r="J30" s="62"/>
      <c r="K30" s="62"/>
      <c r="L30" s="6">
        <f t="shared" si="6"/>
        <v>0</v>
      </c>
      <c r="M30" s="62"/>
      <c r="N30" s="62"/>
      <c r="O30" s="6">
        <f t="shared" si="8"/>
        <v>0</v>
      </c>
      <c r="P30" s="62"/>
      <c r="Q30" s="62"/>
      <c r="R30" s="6">
        <f t="shared" si="9"/>
        <v>0</v>
      </c>
      <c r="S30" s="62"/>
      <c r="T30" s="62"/>
      <c r="U30" s="6">
        <f t="shared" si="10"/>
        <v>0</v>
      </c>
      <c r="V30" s="62"/>
      <c r="W30" s="62"/>
      <c r="X30" s="62">
        <f t="shared" si="11"/>
        <v>0</v>
      </c>
      <c r="Y30" s="26">
        <f t="shared" si="7"/>
        <v>0</v>
      </c>
    </row>
    <row r="31" spans="1:25" x14ac:dyDescent="0.25">
      <c r="A31" s="90" t="s">
        <v>363</v>
      </c>
      <c r="B31" s="90"/>
      <c r="C31" s="90"/>
      <c r="D31" s="62"/>
      <c r="E31" s="62"/>
      <c r="F31" s="6">
        <f t="shared" si="4"/>
        <v>0</v>
      </c>
      <c r="G31" s="62"/>
      <c r="H31" s="62"/>
      <c r="I31" s="6">
        <f t="shared" si="5"/>
        <v>0</v>
      </c>
      <c r="J31" s="62"/>
      <c r="K31" s="62"/>
      <c r="L31" s="6">
        <f t="shared" si="6"/>
        <v>0</v>
      </c>
      <c r="M31" s="62"/>
      <c r="N31" s="62"/>
      <c r="O31" s="6">
        <f t="shared" si="8"/>
        <v>0</v>
      </c>
      <c r="P31" s="62"/>
      <c r="Q31" s="62"/>
      <c r="R31" s="6">
        <f t="shared" si="9"/>
        <v>0</v>
      </c>
      <c r="S31" s="62"/>
      <c r="T31" s="62"/>
      <c r="U31" s="6">
        <f t="shared" si="10"/>
        <v>0</v>
      </c>
      <c r="V31" s="62"/>
      <c r="W31" s="62"/>
      <c r="X31" s="62">
        <f t="shared" si="11"/>
        <v>0</v>
      </c>
      <c r="Y31" s="26">
        <f t="shared" si="7"/>
        <v>0</v>
      </c>
    </row>
    <row r="32" spans="1:25" x14ac:dyDescent="0.25">
      <c r="A32" s="90" t="s">
        <v>340</v>
      </c>
      <c r="B32" s="90"/>
      <c r="C32" s="90"/>
      <c r="D32" s="62"/>
      <c r="E32" s="62"/>
      <c r="F32" s="6">
        <f t="shared" si="4"/>
        <v>0</v>
      </c>
      <c r="G32" s="62"/>
      <c r="H32" s="62"/>
      <c r="I32" s="6">
        <f t="shared" si="5"/>
        <v>0</v>
      </c>
      <c r="J32" s="62"/>
      <c r="K32" s="62"/>
      <c r="L32" s="6">
        <f t="shared" si="6"/>
        <v>0</v>
      </c>
      <c r="M32" s="62"/>
      <c r="N32" s="62"/>
      <c r="O32" s="6">
        <f t="shared" si="8"/>
        <v>0</v>
      </c>
      <c r="P32" s="62"/>
      <c r="Q32" s="62"/>
      <c r="R32" s="6">
        <f t="shared" si="9"/>
        <v>0</v>
      </c>
      <c r="S32" s="62"/>
      <c r="T32" s="62"/>
      <c r="U32" s="6">
        <f t="shared" si="10"/>
        <v>0</v>
      </c>
      <c r="V32" s="62"/>
      <c r="W32" s="62"/>
      <c r="X32" s="62">
        <f t="shared" si="11"/>
        <v>0</v>
      </c>
      <c r="Y32" s="26">
        <f t="shared" si="7"/>
        <v>0</v>
      </c>
    </row>
    <row r="33" spans="1:27" x14ac:dyDescent="0.25">
      <c r="A33" s="90" t="s">
        <v>364</v>
      </c>
      <c r="B33" s="90"/>
      <c r="C33" s="90"/>
      <c r="D33" s="62"/>
      <c r="E33" s="62"/>
      <c r="F33" s="6">
        <f t="shared" si="4"/>
        <v>0</v>
      </c>
      <c r="G33" s="62"/>
      <c r="H33" s="62"/>
      <c r="I33" s="6">
        <f t="shared" si="5"/>
        <v>0</v>
      </c>
      <c r="J33" s="62"/>
      <c r="K33" s="62"/>
      <c r="L33" s="6">
        <f t="shared" si="6"/>
        <v>0</v>
      </c>
      <c r="M33" s="62"/>
      <c r="N33" s="62"/>
      <c r="O33" s="6">
        <f t="shared" si="8"/>
        <v>0</v>
      </c>
      <c r="P33" s="62"/>
      <c r="Q33" s="62"/>
      <c r="R33" s="6">
        <f t="shared" si="9"/>
        <v>0</v>
      </c>
      <c r="S33" s="62"/>
      <c r="T33" s="62"/>
      <c r="U33" s="6">
        <f t="shared" si="10"/>
        <v>0</v>
      </c>
      <c r="V33" s="62"/>
      <c r="W33" s="62"/>
      <c r="X33" s="62">
        <f t="shared" si="11"/>
        <v>0</v>
      </c>
      <c r="Y33" s="26">
        <f t="shared" si="7"/>
        <v>0</v>
      </c>
    </row>
    <row r="34" spans="1:27" x14ac:dyDescent="0.25">
      <c r="A34" s="90" t="s">
        <v>365</v>
      </c>
      <c r="B34" s="90"/>
      <c r="C34" s="90"/>
      <c r="D34" s="62"/>
      <c r="E34" s="62"/>
      <c r="F34" s="6">
        <f t="shared" si="4"/>
        <v>0</v>
      </c>
      <c r="G34" s="62"/>
      <c r="H34" s="62"/>
      <c r="I34" s="6">
        <f t="shared" si="5"/>
        <v>0</v>
      </c>
      <c r="J34" s="62"/>
      <c r="K34" s="62"/>
      <c r="L34" s="6">
        <f t="shared" si="6"/>
        <v>0</v>
      </c>
      <c r="M34" s="62"/>
      <c r="N34" s="62"/>
      <c r="O34" s="6">
        <f t="shared" si="8"/>
        <v>0</v>
      </c>
      <c r="P34" s="62"/>
      <c r="Q34" s="62"/>
      <c r="R34" s="6">
        <f t="shared" si="9"/>
        <v>0</v>
      </c>
      <c r="S34" s="62"/>
      <c r="T34" s="62"/>
      <c r="U34" s="6">
        <f t="shared" si="10"/>
        <v>0</v>
      </c>
      <c r="V34" s="62"/>
      <c r="W34" s="62"/>
      <c r="X34" s="62">
        <f t="shared" si="11"/>
        <v>0</v>
      </c>
      <c r="Y34" s="26">
        <f t="shared" si="7"/>
        <v>0</v>
      </c>
      <c r="AA34" s="6"/>
    </row>
    <row r="35" spans="1:27" x14ac:dyDescent="0.25">
      <c r="A35" s="91" t="s">
        <v>366</v>
      </c>
      <c r="B35" s="91"/>
      <c r="C35" s="91"/>
      <c r="D35" s="62"/>
      <c r="E35" s="62"/>
      <c r="F35" s="6">
        <f t="shared" si="4"/>
        <v>0</v>
      </c>
      <c r="G35" s="62"/>
      <c r="H35" s="62"/>
      <c r="I35" s="6">
        <f t="shared" si="5"/>
        <v>0</v>
      </c>
      <c r="J35" s="62"/>
      <c r="K35" s="62"/>
      <c r="L35" s="6">
        <f t="shared" si="6"/>
        <v>0</v>
      </c>
      <c r="M35" s="62"/>
      <c r="N35" s="62"/>
      <c r="O35" s="6">
        <f t="shared" si="8"/>
        <v>0</v>
      </c>
      <c r="P35" s="62"/>
      <c r="Q35" s="62"/>
      <c r="R35" s="6">
        <f t="shared" si="9"/>
        <v>0</v>
      </c>
      <c r="S35" s="62"/>
      <c r="T35" s="62"/>
      <c r="U35" s="6">
        <f t="shared" si="10"/>
        <v>0</v>
      </c>
      <c r="V35" s="62"/>
      <c r="W35" s="62"/>
      <c r="X35" s="62">
        <f t="shared" si="11"/>
        <v>0</v>
      </c>
      <c r="Y35" s="26">
        <f t="shared" si="7"/>
        <v>0</v>
      </c>
      <c r="AA35" s="6"/>
    </row>
    <row r="36" spans="1:27" x14ac:dyDescent="0.25">
      <c r="A36" s="90" t="s">
        <v>372</v>
      </c>
      <c r="B36" s="90"/>
      <c r="C36" s="90"/>
      <c r="D36" s="62"/>
      <c r="E36" s="62"/>
      <c r="F36" s="6">
        <f t="shared" si="4"/>
        <v>0</v>
      </c>
      <c r="G36" s="62"/>
      <c r="H36" s="62"/>
      <c r="I36" s="6">
        <f t="shared" si="5"/>
        <v>0</v>
      </c>
      <c r="J36" s="62"/>
      <c r="K36" s="62"/>
      <c r="L36" s="6">
        <f t="shared" si="6"/>
        <v>0</v>
      </c>
      <c r="M36" s="62"/>
      <c r="N36" s="62"/>
      <c r="O36" s="6">
        <f t="shared" si="8"/>
        <v>0</v>
      </c>
      <c r="P36" s="62"/>
      <c r="Q36" s="62"/>
      <c r="R36" s="6">
        <f t="shared" si="9"/>
        <v>0</v>
      </c>
      <c r="S36" s="62"/>
      <c r="T36" s="62"/>
      <c r="U36" s="6">
        <f t="shared" si="10"/>
        <v>0</v>
      </c>
      <c r="V36" s="62"/>
      <c r="W36" s="62"/>
      <c r="X36" s="62">
        <f t="shared" si="11"/>
        <v>0</v>
      </c>
      <c r="Y36" s="26">
        <f t="shared" si="7"/>
        <v>0</v>
      </c>
      <c r="AA36" s="6"/>
    </row>
    <row r="37" spans="1:27" x14ac:dyDescent="0.25">
      <c r="A37" s="90" t="s">
        <v>367</v>
      </c>
      <c r="B37" s="90"/>
      <c r="C37" s="90"/>
      <c r="D37" s="62"/>
      <c r="E37" s="62"/>
      <c r="F37" s="6">
        <f t="shared" si="4"/>
        <v>0</v>
      </c>
      <c r="G37" s="62"/>
      <c r="H37" s="62"/>
      <c r="I37" s="6">
        <f t="shared" si="5"/>
        <v>0</v>
      </c>
      <c r="J37" s="62"/>
      <c r="K37" s="62"/>
      <c r="L37" s="6">
        <f t="shared" si="6"/>
        <v>0</v>
      </c>
      <c r="M37" s="62"/>
      <c r="N37" s="62"/>
      <c r="O37" s="6">
        <f t="shared" si="8"/>
        <v>0</v>
      </c>
      <c r="P37" s="62"/>
      <c r="Q37" s="62"/>
      <c r="R37" s="6">
        <f t="shared" si="9"/>
        <v>0</v>
      </c>
      <c r="S37" s="62"/>
      <c r="T37" s="62"/>
      <c r="U37" s="6">
        <f t="shared" si="10"/>
        <v>0</v>
      </c>
      <c r="V37" s="62"/>
      <c r="W37" s="62"/>
      <c r="X37" s="62">
        <f t="shared" si="11"/>
        <v>0</v>
      </c>
      <c r="Y37" s="26">
        <f t="shared" si="7"/>
        <v>0</v>
      </c>
      <c r="AA37" s="6"/>
    </row>
    <row r="38" spans="1:27" x14ac:dyDescent="0.25">
      <c r="A38" s="90" t="s">
        <v>368</v>
      </c>
      <c r="B38" s="90"/>
      <c r="C38" s="90"/>
      <c r="D38" s="62"/>
      <c r="E38" s="62"/>
      <c r="F38" s="6">
        <f t="shared" si="4"/>
        <v>0</v>
      </c>
      <c r="G38" s="62"/>
      <c r="H38" s="62"/>
      <c r="I38" s="6">
        <f t="shared" si="5"/>
        <v>0</v>
      </c>
      <c r="J38" s="62"/>
      <c r="K38" s="62"/>
      <c r="L38" s="6">
        <f t="shared" si="6"/>
        <v>0</v>
      </c>
      <c r="M38" s="62"/>
      <c r="N38" s="62"/>
      <c r="O38" s="6">
        <f t="shared" si="8"/>
        <v>0</v>
      </c>
      <c r="P38" s="62"/>
      <c r="Q38" s="62"/>
      <c r="R38" s="6">
        <f t="shared" si="9"/>
        <v>0</v>
      </c>
      <c r="S38" s="62"/>
      <c r="T38" s="62"/>
      <c r="U38" s="6">
        <f t="shared" si="10"/>
        <v>0</v>
      </c>
      <c r="V38" s="62"/>
      <c r="W38" s="62"/>
      <c r="X38" s="62">
        <f t="shared" si="11"/>
        <v>0</v>
      </c>
      <c r="Y38" s="26">
        <f t="shared" si="7"/>
        <v>0</v>
      </c>
      <c r="AA38" s="6"/>
    </row>
    <row r="39" spans="1:27" x14ac:dyDescent="0.25">
      <c r="A39" s="90" t="s">
        <v>369</v>
      </c>
      <c r="B39" s="90"/>
      <c r="C39" s="90"/>
      <c r="D39" s="21">
        <v>35358.839999999997</v>
      </c>
      <c r="E39" s="21">
        <v>-35357</v>
      </c>
      <c r="F39" s="6">
        <f t="shared" si="4"/>
        <v>1.8399999999965075</v>
      </c>
      <c r="G39" s="41">
        <v>-3894.14</v>
      </c>
      <c r="H39" s="21">
        <f>906+2986</f>
        <v>3892</v>
      </c>
      <c r="I39" s="6">
        <f t="shared" si="5"/>
        <v>-2.1399999999998727</v>
      </c>
      <c r="J39" s="21"/>
      <c r="K39" s="21"/>
      <c r="L39" s="6">
        <f t="shared" si="6"/>
        <v>0</v>
      </c>
      <c r="M39" s="21">
        <v>8337.15</v>
      </c>
      <c r="N39" s="21">
        <v>-8336</v>
      </c>
      <c r="O39" s="6">
        <f t="shared" si="8"/>
        <v>1.1499999999996362</v>
      </c>
      <c r="P39" s="21">
        <v>-18932.21</v>
      </c>
      <c r="Q39" s="21">
        <v>18931</v>
      </c>
      <c r="R39" s="6">
        <f t="shared" si="9"/>
        <v>-1.2099999999991269</v>
      </c>
      <c r="S39" s="21"/>
      <c r="T39" s="21"/>
      <c r="U39" s="6">
        <f t="shared" si="10"/>
        <v>0</v>
      </c>
      <c r="V39" s="21">
        <v>17367.22</v>
      </c>
      <c r="W39" s="21"/>
      <c r="X39" s="62">
        <f t="shared" si="11"/>
        <v>17367.22</v>
      </c>
      <c r="Y39" s="26">
        <f t="shared" si="7"/>
        <v>17366.859999999997</v>
      </c>
      <c r="AA39" s="6"/>
    </row>
    <row r="40" spans="1:27" x14ac:dyDescent="0.25">
      <c r="A40" s="91" t="s">
        <v>17</v>
      </c>
      <c r="B40" s="91"/>
      <c r="C40" s="91"/>
      <c r="D40" s="62"/>
      <c r="E40" s="62"/>
      <c r="F40" s="6">
        <f t="shared" si="4"/>
        <v>0</v>
      </c>
      <c r="G40" s="62"/>
      <c r="H40" s="62"/>
      <c r="I40" s="6">
        <f t="shared" si="5"/>
        <v>0</v>
      </c>
      <c r="J40" s="62"/>
      <c r="K40" s="62"/>
      <c r="L40" s="6">
        <f t="shared" si="6"/>
        <v>0</v>
      </c>
      <c r="M40" s="62"/>
      <c r="N40" s="62"/>
      <c r="O40" s="6">
        <f t="shared" si="8"/>
        <v>0</v>
      </c>
      <c r="P40" s="62"/>
      <c r="Q40" s="62"/>
      <c r="R40" s="6">
        <f t="shared" si="9"/>
        <v>0</v>
      </c>
      <c r="S40" s="62"/>
      <c r="T40" s="62"/>
      <c r="U40" s="6">
        <f>S40+T40</f>
        <v>0</v>
      </c>
      <c r="V40" s="62"/>
      <c r="W40" s="62"/>
      <c r="X40" s="62">
        <f>V40+W40</f>
        <v>0</v>
      </c>
      <c r="Y40" s="26">
        <f t="shared" si="7"/>
        <v>0</v>
      </c>
      <c r="AA40" s="6"/>
    </row>
    <row r="41" spans="1:27" x14ac:dyDescent="0.25">
      <c r="A41" s="2" t="s">
        <v>18</v>
      </c>
      <c r="B41" s="2"/>
      <c r="C41" s="2"/>
      <c r="D41" s="6">
        <f>SUM(D23:D40)</f>
        <v>35358.839999999997</v>
      </c>
      <c r="E41" s="6">
        <f>SUM(E23:E40)</f>
        <v>-35357</v>
      </c>
      <c r="F41" s="6">
        <f t="shared" si="4"/>
        <v>1.8399999999965075</v>
      </c>
      <c r="G41" s="48">
        <f>SUM(G23:G40)</f>
        <v>-3894.14</v>
      </c>
      <c r="H41" s="6">
        <f>SUM(H23:H40)</f>
        <v>3892</v>
      </c>
      <c r="I41" s="6">
        <f t="shared" si="5"/>
        <v>-2.1399999999998727</v>
      </c>
      <c r="J41" s="6">
        <f>SUM(J23:J40)</f>
        <v>0</v>
      </c>
      <c r="K41" s="6">
        <f>SUM(K23:K40)</f>
        <v>0</v>
      </c>
      <c r="L41" s="6">
        <f t="shared" si="6"/>
        <v>0</v>
      </c>
      <c r="M41" s="6">
        <f>SUM(M23:M40)</f>
        <v>8337.15</v>
      </c>
      <c r="N41" s="6">
        <f>SUM(N23:N40)</f>
        <v>-8336</v>
      </c>
      <c r="O41" s="6">
        <f>M41+N41</f>
        <v>1.1499999999996362</v>
      </c>
      <c r="P41" s="6">
        <f>SUM(P23:P40)</f>
        <v>-18932.21</v>
      </c>
      <c r="Q41" s="6">
        <f>SUM(Q23:Q40)</f>
        <v>18931</v>
      </c>
      <c r="R41" s="6">
        <f>P41+Q41</f>
        <v>-1.2099999999991269</v>
      </c>
      <c r="S41" s="6">
        <f>SUM(S23:S40)</f>
        <v>0</v>
      </c>
      <c r="T41" s="17">
        <f>SUM(T23:T40)</f>
        <v>0</v>
      </c>
      <c r="U41" s="6">
        <f>S41+T41</f>
        <v>0</v>
      </c>
      <c r="V41" s="6">
        <f>SUM(V23:V40)</f>
        <v>17367.22</v>
      </c>
      <c r="W41" s="6">
        <f>SUM(W23:W40)</f>
        <v>0</v>
      </c>
      <c r="X41" s="6">
        <f>V41+W41</f>
        <v>17367.22</v>
      </c>
      <c r="Y41" s="26">
        <f t="shared" si="7"/>
        <v>17366.859999999997</v>
      </c>
      <c r="AA41" s="6"/>
    </row>
    <row r="42" spans="1:27" x14ac:dyDescent="0.25">
      <c r="Y42" s="26"/>
      <c r="AA42" s="6"/>
    </row>
    <row r="43" spans="1:27" x14ac:dyDescent="0.25">
      <c r="A43" s="2" t="s">
        <v>19</v>
      </c>
      <c r="B43" s="2"/>
      <c r="C43" s="2"/>
      <c r="D43" s="6">
        <f>D20+D41</f>
        <v>729675.96</v>
      </c>
      <c r="E43" s="6">
        <f>E20+E41</f>
        <v>0</v>
      </c>
      <c r="F43" s="6">
        <f t="shared" si="4"/>
        <v>729675.96</v>
      </c>
      <c r="G43" s="48">
        <f>G20+G41</f>
        <v>2622.86</v>
      </c>
      <c r="H43" s="6">
        <f>H20+H41</f>
        <v>906</v>
      </c>
      <c r="I43" s="6">
        <f t="shared" si="5"/>
        <v>3528.86</v>
      </c>
      <c r="J43" s="6">
        <f>J20+J41</f>
        <v>0</v>
      </c>
      <c r="K43" s="6">
        <f>K20+K41</f>
        <v>0</v>
      </c>
      <c r="L43" s="6">
        <f t="shared" si="6"/>
        <v>0</v>
      </c>
      <c r="M43" s="6">
        <f>M20+M41</f>
        <v>48077.99</v>
      </c>
      <c r="N43" s="6">
        <f>N20+N41</f>
        <v>0</v>
      </c>
      <c r="O43" s="6">
        <f>M43+N43</f>
        <v>48077.99</v>
      </c>
      <c r="P43" s="6">
        <f>P20+P41</f>
        <v>20454.11</v>
      </c>
      <c r="Q43" s="6">
        <f>Q20+Q41</f>
        <v>0</v>
      </c>
      <c r="R43" s="6">
        <f>P43+Q43</f>
        <v>20454.11</v>
      </c>
      <c r="S43" s="6">
        <f>S20+S41</f>
        <v>0</v>
      </c>
      <c r="T43" s="6">
        <f>T20+T41</f>
        <v>0</v>
      </c>
      <c r="U43" s="6">
        <f>S43+T43</f>
        <v>0</v>
      </c>
      <c r="V43" s="6">
        <f>V20+V41</f>
        <v>34862.39</v>
      </c>
      <c r="W43" s="6">
        <f>W20+W41</f>
        <v>0</v>
      </c>
      <c r="X43" s="6">
        <f>V43+W43</f>
        <v>34862.39</v>
      </c>
      <c r="Y43" s="6">
        <f>Y20+Y41</f>
        <v>836599.30999999994</v>
      </c>
      <c r="AA43" s="6"/>
    </row>
    <row r="44" spans="1:27" x14ac:dyDescent="0.25">
      <c r="D44" s="55" t="str">
        <f>IF(D13=D43,"YES","NO")</f>
        <v>YES</v>
      </c>
      <c r="E44" s="55" t="str">
        <f>IF(E13=E43,"YES","NO")</f>
        <v>YES</v>
      </c>
      <c r="F44" s="55" t="str">
        <f>IF(F13=F43,"YES","NO")</f>
        <v>YES</v>
      </c>
      <c r="G44" s="55" t="str">
        <f>IF(G13=G43,"YES","NO")</f>
        <v>YES</v>
      </c>
      <c r="H44" s="55" t="str">
        <f>IF(H13=H43,"YES","NO")</f>
        <v>YES</v>
      </c>
      <c r="I44" s="55" t="str">
        <f t="shared" ref="I44:X44" si="12">IF(I13=I43,"YES","NO")</f>
        <v>YES</v>
      </c>
      <c r="J44" s="55" t="str">
        <f t="shared" si="12"/>
        <v>YES</v>
      </c>
      <c r="K44" s="55" t="str">
        <f t="shared" si="12"/>
        <v>YES</v>
      </c>
      <c r="L44" s="55" t="str">
        <f t="shared" si="12"/>
        <v>YES</v>
      </c>
      <c r="M44" s="55" t="str">
        <f t="shared" si="12"/>
        <v>YES</v>
      </c>
      <c r="N44" s="55" t="str">
        <f t="shared" si="12"/>
        <v>YES</v>
      </c>
      <c r="O44" s="55" t="str">
        <f t="shared" si="12"/>
        <v>YES</v>
      </c>
      <c r="P44" s="55" t="str">
        <f t="shared" si="12"/>
        <v>YES</v>
      </c>
      <c r="Q44" s="55" t="str">
        <f t="shared" si="12"/>
        <v>YES</v>
      </c>
      <c r="R44" s="55" t="str">
        <f t="shared" si="12"/>
        <v>YES</v>
      </c>
      <c r="S44" s="55" t="str">
        <f t="shared" si="12"/>
        <v>YES</v>
      </c>
      <c r="T44" s="6" t="str">
        <f t="shared" si="12"/>
        <v>YES</v>
      </c>
      <c r="U44" s="6" t="str">
        <f t="shared" si="12"/>
        <v>YES</v>
      </c>
      <c r="V44" s="6" t="str">
        <f t="shared" si="12"/>
        <v>YES</v>
      </c>
      <c r="W44" s="6" t="str">
        <f t="shared" si="12"/>
        <v>YES</v>
      </c>
      <c r="X44" s="6" t="str">
        <f t="shared" si="12"/>
        <v>YES</v>
      </c>
      <c r="Y44" s="26"/>
      <c r="AA44" s="6"/>
    </row>
    <row r="45" spans="1:27" x14ac:dyDescent="0.25">
      <c r="A45" s="3" t="s">
        <v>20</v>
      </c>
      <c r="B45" s="3"/>
      <c r="C45" s="3"/>
      <c r="Y45" s="26"/>
      <c r="AA45" s="6"/>
    </row>
    <row r="46" spans="1:27" x14ac:dyDescent="0.25">
      <c r="A46" s="4" t="s">
        <v>21</v>
      </c>
      <c r="B46" s="4"/>
      <c r="C46" s="4"/>
      <c r="D46" s="21">
        <f>1449-30</f>
        <v>1419</v>
      </c>
      <c r="E46" s="21"/>
      <c r="F46" s="6">
        <f t="shared" si="4"/>
        <v>1419</v>
      </c>
      <c r="G46" s="41">
        <v>71517</v>
      </c>
      <c r="H46" s="21">
        <v>3892</v>
      </c>
      <c r="I46" s="6">
        <f t="shared" si="5"/>
        <v>75409</v>
      </c>
      <c r="J46" s="21"/>
      <c r="K46" s="21"/>
      <c r="L46" s="6">
        <f t="shared" si="6"/>
        <v>0</v>
      </c>
      <c r="M46" s="21">
        <v>39683.89</v>
      </c>
      <c r="N46" s="21">
        <v>-8336</v>
      </c>
      <c r="O46" s="6">
        <f t="shared" ref="O46:O51" si="13">M46+N46</f>
        <v>31347.89</v>
      </c>
      <c r="P46" s="21">
        <v>10232</v>
      </c>
      <c r="Q46" s="21">
        <v>18931</v>
      </c>
      <c r="R46" s="6">
        <f t="shared" ref="R46:R51" si="14">P46+Q46</f>
        <v>29163</v>
      </c>
      <c r="S46" s="21"/>
      <c r="T46" s="21"/>
      <c r="U46" s="6">
        <f t="shared" ref="U46:U51" si="15">S46+T46</f>
        <v>0</v>
      </c>
      <c r="V46" s="21"/>
      <c r="W46" s="21"/>
      <c r="X46" s="62">
        <f t="shared" ref="X46:X51" si="16">V46+W46</f>
        <v>0</v>
      </c>
      <c r="Y46" s="26">
        <f t="shared" si="7"/>
        <v>137338.89000000001</v>
      </c>
      <c r="AA46" s="6"/>
    </row>
    <row r="47" spans="1:27" x14ac:dyDescent="0.25">
      <c r="A47" s="4" t="s">
        <v>22</v>
      </c>
      <c r="B47" s="4"/>
      <c r="C47" s="4"/>
      <c r="D47" s="21"/>
      <c r="E47" s="21"/>
      <c r="F47" s="6">
        <f t="shared" si="4"/>
        <v>0</v>
      </c>
      <c r="G47" s="41"/>
      <c r="H47" s="21"/>
      <c r="I47" s="6">
        <f t="shared" si="5"/>
        <v>0</v>
      </c>
      <c r="J47" s="21"/>
      <c r="K47" s="21"/>
      <c r="L47" s="6">
        <f t="shared" si="6"/>
        <v>0</v>
      </c>
      <c r="M47" s="21"/>
      <c r="N47" s="21"/>
      <c r="O47" s="6">
        <f t="shared" si="13"/>
        <v>0</v>
      </c>
      <c r="P47" s="21"/>
      <c r="Q47" s="21"/>
      <c r="R47" s="6">
        <f t="shared" si="14"/>
        <v>0</v>
      </c>
      <c r="S47" s="21"/>
      <c r="T47" s="21"/>
      <c r="U47" s="6">
        <f t="shared" si="15"/>
        <v>0</v>
      </c>
      <c r="V47" s="21"/>
      <c r="W47" s="21"/>
      <c r="X47" s="62">
        <f t="shared" si="16"/>
        <v>0</v>
      </c>
      <c r="Y47" s="26">
        <f t="shared" si="7"/>
        <v>0</v>
      </c>
      <c r="AA47" s="6"/>
    </row>
    <row r="48" spans="1:27" x14ac:dyDescent="0.25">
      <c r="A48" s="4" t="s">
        <v>202</v>
      </c>
      <c r="B48" s="4"/>
      <c r="C48" s="4"/>
      <c r="D48" s="21"/>
      <c r="E48" s="21"/>
      <c r="F48" s="6">
        <f t="shared" si="4"/>
        <v>0</v>
      </c>
      <c r="G48" s="41"/>
      <c r="H48" s="21"/>
      <c r="I48" s="6">
        <f t="shared" si="5"/>
        <v>0</v>
      </c>
      <c r="J48" s="21"/>
      <c r="K48" s="21"/>
      <c r="L48" s="6">
        <f t="shared" si="6"/>
        <v>0</v>
      </c>
      <c r="M48" s="21"/>
      <c r="N48" s="21"/>
      <c r="O48" s="6">
        <f t="shared" si="13"/>
        <v>0</v>
      </c>
      <c r="P48" s="21"/>
      <c r="Q48" s="21"/>
      <c r="R48" s="6">
        <f t="shared" si="14"/>
        <v>0</v>
      </c>
      <c r="S48" s="21"/>
      <c r="T48" s="21"/>
      <c r="U48" s="6">
        <f t="shared" si="15"/>
        <v>0</v>
      </c>
      <c r="V48" s="21">
        <v>40</v>
      </c>
      <c r="W48" s="21"/>
      <c r="X48" s="62">
        <f t="shared" si="16"/>
        <v>40</v>
      </c>
      <c r="Y48" s="26">
        <f t="shared" si="7"/>
        <v>40</v>
      </c>
      <c r="AA48" s="6"/>
    </row>
    <row r="49" spans="1:27" x14ac:dyDescent="0.25">
      <c r="A49" s="4" t="s">
        <v>23</v>
      </c>
      <c r="B49" s="4"/>
      <c r="C49" s="4"/>
      <c r="D49" s="21">
        <v>3801.75</v>
      </c>
      <c r="E49" s="21"/>
      <c r="F49" s="6">
        <f t="shared" si="4"/>
        <v>3801.75</v>
      </c>
      <c r="G49" s="41">
        <v>28.69</v>
      </c>
      <c r="H49" s="21"/>
      <c r="I49" s="6">
        <f t="shared" si="5"/>
        <v>28.69</v>
      </c>
      <c r="J49" s="21"/>
      <c r="K49" s="21"/>
      <c r="L49" s="6">
        <f t="shared" si="6"/>
        <v>0</v>
      </c>
      <c r="M49" s="21">
        <v>88.04</v>
      </c>
      <c r="N49" s="21"/>
      <c r="O49" s="6">
        <f t="shared" si="13"/>
        <v>88.04</v>
      </c>
      <c r="P49" s="21">
        <v>64.150000000000006</v>
      </c>
      <c r="Q49" s="21"/>
      <c r="R49" s="6">
        <f t="shared" si="14"/>
        <v>64.150000000000006</v>
      </c>
      <c r="S49" s="21"/>
      <c r="T49" s="21"/>
      <c r="U49" s="6">
        <f t="shared" si="15"/>
        <v>0</v>
      </c>
      <c r="V49" s="21">
        <v>103.45</v>
      </c>
      <c r="W49" s="21"/>
      <c r="X49" s="62">
        <f t="shared" si="16"/>
        <v>103.45</v>
      </c>
      <c r="Y49" s="26">
        <f t="shared" si="7"/>
        <v>4086.08</v>
      </c>
      <c r="AA49" s="6"/>
    </row>
    <row r="50" spans="1:27" x14ac:dyDescent="0.25">
      <c r="A50" s="4" t="s">
        <v>24</v>
      </c>
      <c r="B50" s="4"/>
      <c r="C50" s="4"/>
      <c r="D50" s="21"/>
      <c r="E50" s="21"/>
      <c r="F50" s="6">
        <f t="shared" si="4"/>
        <v>0</v>
      </c>
      <c r="G50" s="41"/>
      <c r="H50" s="21"/>
      <c r="I50" s="6">
        <f t="shared" si="5"/>
        <v>0</v>
      </c>
      <c r="J50" s="21"/>
      <c r="K50" s="21"/>
      <c r="L50" s="6">
        <f t="shared" si="6"/>
        <v>0</v>
      </c>
      <c r="M50" s="21"/>
      <c r="N50" s="21"/>
      <c r="O50" s="6">
        <f t="shared" si="13"/>
        <v>0</v>
      </c>
      <c r="P50" s="21"/>
      <c r="Q50" s="21"/>
      <c r="R50" s="6">
        <f t="shared" si="14"/>
        <v>0</v>
      </c>
      <c r="S50" s="21"/>
      <c r="T50" s="21"/>
      <c r="U50" s="6">
        <f t="shared" si="15"/>
        <v>0</v>
      </c>
      <c r="V50" s="21"/>
      <c r="W50" s="21"/>
      <c r="X50" s="62">
        <f t="shared" si="16"/>
        <v>0</v>
      </c>
      <c r="Y50" s="26">
        <f t="shared" si="7"/>
        <v>0</v>
      </c>
      <c r="AA50" s="6"/>
    </row>
    <row r="51" spans="1:27" x14ac:dyDescent="0.25">
      <c r="A51" s="2" t="s">
        <v>25</v>
      </c>
      <c r="B51" s="2"/>
      <c r="C51" s="2"/>
      <c r="D51" s="6">
        <f>SUM(D46:D50)</f>
        <v>5220.75</v>
      </c>
      <c r="E51" s="6">
        <f>SUM(E46:E50)</f>
        <v>0</v>
      </c>
      <c r="F51" s="6">
        <f t="shared" si="4"/>
        <v>5220.75</v>
      </c>
      <c r="G51" s="48">
        <f>SUM(G46:G50)</f>
        <v>71545.69</v>
      </c>
      <c r="H51" s="6">
        <f>SUM(H46:H50)</f>
        <v>3892</v>
      </c>
      <c r="I51" s="6">
        <f t="shared" si="5"/>
        <v>75437.69</v>
      </c>
      <c r="J51" s="6">
        <f>SUM(J46:J50)</f>
        <v>0</v>
      </c>
      <c r="K51" s="6">
        <f>SUM(K46:K50)</f>
        <v>0</v>
      </c>
      <c r="L51" s="6">
        <f t="shared" si="6"/>
        <v>0</v>
      </c>
      <c r="M51" s="6">
        <f>SUM(M46:M50)</f>
        <v>39771.93</v>
      </c>
      <c r="N51" s="6">
        <f>SUM(N46:N50)</f>
        <v>-8336</v>
      </c>
      <c r="O51" s="6">
        <f t="shared" si="13"/>
        <v>31435.93</v>
      </c>
      <c r="P51" s="6">
        <f>SUM(P46:P50)</f>
        <v>10296.15</v>
      </c>
      <c r="Q51" s="6">
        <f>SUM(Q46:Q50)</f>
        <v>18931</v>
      </c>
      <c r="R51" s="6">
        <f t="shared" si="14"/>
        <v>29227.15</v>
      </c>
      <c r="S51" s="6">
        <f>SUM(S46:S50)</f>
        <v>0</v>
      </c>
      <c r="T51" s="6">
        <f>SUM(T46:T50)</f>
        <v>0</v>
      </c>
      <c r="U51" s="6">
        <f t="shared" si="15"/>
        <v>0</v>
      </c>
      <c r="V51" s="6">
        <f>SUM(V46:V50)</f>
        <v>143.44999999999999</v>
      </c>
      <c r="W51" s="6">
        <f>SUM(W46:W50)</f>
        <v>0</v>
      </c>
      <c r="X51" s="6">
        <f t="shared" si="16"/>
        <v>143.44999999999999</v>
      </c>
      <c r="Y51" s="26">
        <f t="shared" si="7"/>
        <v>141464.97</v>
      </c>
      <c r="AA51" s="6"/>
    </row>
    <row r="52" spans="1:27" x14ac:dyDescent="0.25">
      <c r="Y52" s="26"/>
      <c r="AA52" s="6"/>
    </row>
    <row r="53" spans="1:27" x14ac:dyDescent="0.25">
      <c r="A53" s="3" t="s">
        <v>26</v>
      </c>
      <c r="B53" s="3"/>
      <c r="C53" s="3"/>
      <c r="Y53" s="26"/>
      <c r="AA53" s="6"/>
    </row>
    <row r="54" spans="1:27" x14ac:dyDescent="0.25">
      <c r="A54" s="4" t="s">
        <v>27</v>
      </c>
      <c r="B54" s="4"/>
      <c r="C54" s="4"/>
      <c r="D54" s="62"/>
      <c r="E54" s="21"/>
      <c r="F54" s="6">
        <f t="shared" si="4"/>
        <v>0</v>
      </c>
      <c r="G54" s="62"/>
      <c r="H54" s="21"/>
      <c r="I54" s="6">
        <f t="shared" si="5"/>
        <v>0</v>
      </c>
      <c r="J54" s="62"/>
      <c r="K54" s="21"/>
      <c r="L54" s="6">
        <f t="shared" si="6"/>
        <v>0</v>
      </c>
      <c r="M54" s="62"/>
      <c r="N54" s="21"/>
      <c r="O54" s="6">
        <f t="shared" ref="O54:O60" si="17">M54+N54</f>
        <v>0</v>
      </c>
      <c r="P54" s="62"/>
      <c r="Q54" s="21"/>
      <c r="R54" s="6">
        <f t="shared" ref="R54:R60" si="18">P54+Q54</f>
        <v>0</v>
      </c>
      <c r="S54" s="62"/>
      <c r="T54" s="62"/>
      <c r="U54" s="6">
        <f t="shared" ref="U54:U60" si="19">S54+T54</f>
        <v>0</v>
      </c>
      <c r="V54" s="62"/>
      <c r="W54" s="62"/>
      <c r="X54" s="62">
        <f t="shared" ref="X54:X60" si="20">V54+W54</f>
        <v>0</v>
      </c>
      <c r="Y54" s="26">
        <f t="shared" si="7"/>
        <v>0</v>
      </c>
      <c r="AA54" s="6"/>
    </row>
    <row r="55" spans="1:27" x14ac:dyDescent="0.25">
      <c r="A55" s="4" t="s">
        <v>28</v>
      </c>
      <c r="B55" s="4"/>
      <c r="C55" s="4"/>
      <c r="D55" s="62"/>
      <c r="E55" s="21"/>
      <c r="F55" s="6">
        <f t="shared" si="4"/>
        <v>0</v>
      </c>
      <c r="G55" s="62"/>
      <c r="H55" s="21"/>
      <c r="I55" s="6">
        <f t="shared" si="5"/>
        <v>0</v>
      </c>
      <c r="J55" s="62"/>
      <c r="K55" s="21"/>
      <c r="L55" s="6">
        <f t="shared" si="6"/>
        <v>0</v>
      </c>
      <c r="M55" s="62"/>
      <c r="N55" s="21"/>
      <c r="O55" s="6">
        <f t="shared" si="17"/>
        <v>0</v>
      </c>
      <c r="P55" s="62"/>
      <c r="Q55" s="21"/>
      <c r="R55" s="6">
        <f t="shared" si="18"/>
        <v>0</v>
      </c>
      <c r="S55" s="62"/>
      <c r="T55" s="62"/>
      <c r="U55" s="6">
        <f t="shared" si="19"/>
        <v>0</v>
      </c>
      <c r="V55" s="62"/>
      <c r="W55" s="62"/>
      <c r="X55" s="62">
        <f t="shared" si="20"/>
        <v>0</v>
      </c>
      <c r="Y55" s="26">
        <f t="shared" si="7"/>
        <v>0</v>
      </c>
      <c r="AA55" s="6"/>
    </row>
    <row r="56" spans="1:27" x14ac:dyDescent="0.25">
      <c r="A56" s="4" t="s">
        <v>29</v>
      </c>
      <c r="B56" s="4"/>
      <c r="C56" s="4"/>
      <c r="D56" s="62"/>
      <c r="E56" s="21"/>
      <c r="F56" s="6">
        <f t="shared" si="4"/>
        <v>0</v>
      </c>
      <c r="G56" s="62"/>
      <c r="H56" s="21"/>
      <c r="I56" s="6">
        <f t="shared" si="5"/>
        <v>0</v>
      </c>
      <c r="J56" s="62"/>
      <c r="K56" s="21"/>
      <c r="L56" s="6">
        <f t="shared" si="6"/>
        <v>0</v>
      </c>
      <c r="M56" s="62"/>
      <c r="N56" s="21"/>
      <c r="O56" s="6">
        <f t="shared" si="17"/>
        <v>0</v>
      </c>
      <c r="P56" s="62"/>
      <c r="Q56" s="21"/>
      <c r="R56" s="6">
        <f t="shared" si="18"/>
        <v>0</v>
      </c>
      <c r="S56" s="62"/>
      <c r="T56" s="62"/>
      <c r="U56" s="6">
        <f t="shared" si="19"/>
        <v>0</v>
      </c>
      <c r="V56" s="62"/>
      <c r="W56" s="62"/>
      <c r="X56" s="62">
        <f t="shared" si="20"/>
        <v>0</v>
      </c>
      <c r="Y56" s="26">
        <f t="shared" si="7"/>
        <v>0</v>
      </c>
      <c r="AA56" s="6"/>
    </row>
    <row r="57" spans="1:27" x14ac:dyDescent="0.25">
      <c r="A57" s="4" t="s">
        <v>30</v>
      </c>
      <c r="B57" s="4"/>
      <c r="C57" s="4"/>
      <c r="D57" s="62"/>
      <c r="E57" s="21"/>
      <c r="F57" s="6">
        <f t="shared" si="4"/>
        <v>0</v>
      </c>
      <c r="G57" s="62"/>
      <c r="H57" s="21"/>
      <c r="I57" s="6">
        <f t="shared" si="5"/>
        <v>0</v>
      </c>
      <c r="J57" s="62"/>
      <c r="K57" s="21"/>
      <c r="L57" s="6">
        <f t="shared" si="6"/>
        <v>0</v>
      </c>
      <c r="M57" s="62"/>
      <c r="N57" s="21"/>
      <c r="O57" s="6">
        <f t="shared" si="17"/>
        <v>0</v>
      </c>
      <c r="P57" s="62"/>
      <c r="Q57" s="21"/>
      <c r="R57" s="6">
        <f t="shared" si="18"/>
        <v>0</v>
      </c>
      <c r="S57" s="62"/>
      <c r="T57" s="21"/>
      <c r="U57" s="6">
        <f t="shared" si="19"/>
        <v>0</v>
      </c>
      <c r="V57" s="62"/>
      <c r="W57" s="94"/>
      <c r="X57" s="95">
        <f t="shared" si="20"/>
        <v>0</v>
      </c>
      <c r="Y57" s="26">
        <f t="shared" si="7"/>
        <v>0</v>
      </c>
      <c r="AA57" s="6"/>
    </row>
    <row r="58" spans="1:27" x14ac:dyDescent="0.25">
      <c r="A58" s="4" t="s">
        <v>31</v>
      </c>
      <c r="B58" s="4"/>
      <c r="C58" s="4"/>
      <c r="D58" s="21">
        <v>163788.75</v>
      </c>
      <c r="E58" s="21">
        <v>35357</v>
      </c>
      <c r="F58" s="6">
        <f t="shared" si="4"/>
        <v>199145.75</v>
      </c>
      <c r="G58" s="41">
        <v>71032.38</v>
      </c>
      <c r="H58" s="21"/>
      <c r="I58" s="6">
        <f t="shared" si="5"/>
        <v>71032.38</v>
      </c>
      <c r="J58" s="21">
        <v>21.36</v>
      </c>
      <c r="K58" s="21"/>
      <c r="L58" s="6">
        <f t="shared" si="6"/>
        <v>21.36</v>
      </c>
      <c r="M58" s="21">
        <v>31433.759999999998</v>
      </c>
      <c r="N58" s="21"/>
      <c r="O58" s="6">
        <f t="shared" si="17"/>
        <v>31433.759999999998</v>
      </c>
      <c r="P58" s="21">
        <v>29228.32</v>
      </c>
      <c r="Q58" s="21"/>
      <c r="R58" s="6">
        <f t="shared" si="18"/>
        <v>29228.32</v>
      </c>
      <c r="S58" s="21">
        <v>0</v>
      </c>
      <c r="T58" s="21"/>
      <c r="U58" s="6">
        <f t="shared" si="19"/>
        <v>0</v>
      </c>
      <c r="V58" s="21">
        <v>11272.14</v>
      </c>
      <c r="W58" s="94"/>
      <c r="X58" s="95">
        <f t="shared" si="20"/>
        <v>11272.14</v>
      </c>
      <c r="Y58" s="26">
        <f t="shared" si="7"/>
        <v>342133.71</v>
      </c>
    </row>
    <row r="59" spans="1:27" x14ac:dyDescent="0.25">
      <c r="A59" s="4" t="s">
        <v>62</v>
      </c>
      <c r="B59" s="4"/>
      <c r="C59" s="4"/>
      <c r="D59" s="62"/>
      <c r="E59" s="21"/>
      <c r="F59" s="6">
        <f t="shared" si="4"/>
        <v>0</v>
      </c>
      <c r="G59" s="62"/>
      <c r="H59" s="21"/>
      <c r="I59" s="6">
        <f t="shared" si="5"/>
        <v>0</v>
      </c>
      <c r="J59" s="62"/>
      <c r="K59" s="21"/>
      <c r="L59" s="6">
        <f t="shared" si="6"/>
        <v>0</v>
      </c>
      <c r="M59" s="62"/>
      <c r="N59" s="21"/>
      <c r="O59" s="6">
        <f t="shared" si="17"/>
        <v>0</v>
      </c>
      <c r="P59" s="62"/>
      <c r="Q59" s="21"/>
      <c r="R59" s="6">
        <f t="shared" si="18"/>
        <v>0</v>
      </c>
      <c r="S59" s="62"/>
      <c r="T59" s="21"/>
      <c r="U59" s="6">
        <f t="shared" si="19"/>
        <v>0</v>
      </c>
      <c r="V59" s="62"/>
      <c r="W59" s="94"/>
      <c r="X59" s="95">
        <f t="shared" si="20"/>
        <v>0</v>
      </c>
      <c r="Y59" s="26">
        <f t="shared" si="7"/>
        <v>0</v>
      </c>
    </row>
    <row r="60" spans="1:27" x14ac:dyDescent="0.25">
      <c r="A60" s="2" t="s">
        <v>32</v>
      </c>
      <c r="B60" s="2"/>
      <c r="C60" s="2"/>
      <c r="D60" s="62">
        <f>SUM(D54:D59)</f>
        <v>163788.75</v>
      </c>
      <c r="E60" s="6">
        <f>SUM(E54:E59)</f>
        <v>35357</v>
      </c>
      <c r="F60" s="6">
        <f t="shared" si="4"/>
        <v>199145.75</v>
      </c>
      <c r="G60" s="62">
        <f>SUM(G54:G59)</f>
        <v>71032.38</v>
      </c>
      <c r="H60" s="6">
        <f>SUM(H54:H59)</f>
        <v>0</v>
      </c>
      <c r="I60" s="6">
        <f t="shared" si="5"/>
        <v>71032.38</v>
      </c>
      <c r="J60" s="62">
        <f>SUM(J54:J59)</f>
        <v>21.36</v>
      </c>
      <c r="K60" s="6">
        <f>SUM(K54:K59)</f>
        <v>0</v>
      </c>
      <c r="L60" s="6">
        <f t="shared" si="6"/>
        <v>21.36</v>
      </c>
      <c r="M60" s="62">
        <f>SUM(M54:M59)</f>
        <v>31433.759999999998</v>
      </c>
      <c r="N60" s="6">
        <f>SUM(N54:N59)</f>
        <v>0</v>
      </c>
      <c r="O60" s="6">
        <f t="shared" si="17"/>
        <v>31433.759999999998</v>
      </c>
      <c r="P60" s="6">
        <f>SUM(P54:P59)</f>
        <v>29228.32</v>
      </c>
      <c r="Q60" s="6">
        <f>SUM(Q54:Q59)</f>
        <v>0</v>
      </c>
      <c r="R60" s="6">
        <f t="shared" si="18"/>
        <v>29228.32</v>
      </c>
      <c r="S60" s="6">
        <f>SUM(S54:S59)</f>
        <v>0</v>
      </c>
      <c r="T60" s="6">
        <f>SUM(T54:T59)</f>
        <v>0</v>
      </c>
      <c r="U60" s="6">
        <f t="shared" si="19"/>
        <v>0</v>
      </c>
      <c r="V60" s="6">
        <f>SUM(V54:V59)</f>
        <v>11272.14</v>
      </c>
      <c r="W60" s="6">
        <f>SUM(W54:W59)</f>
        <v>0</v>
      </c>
      <c r="X60" s="6">
        <f t="shared" si="20"/>
        <v>11272.14</v>
      </c>
      <c r="Y60" s="26">
        <f t="shared" si="7"/>
        <v>342133.71</v>
      </c>
    </row>
    <row r="61" spans="1:27" x14ac:dyDescent="0.25">
      <c r="D61" s="62"/>
      <c r="G61" s="62"/>
      <c r="J61" s="62"/>
      <c r="M61" s="62"/>
      <c r="Y61" s="26"/>
    </row>
    <row r="62" spans="1:27" x14ac:dyDescent="0.25">
      <c r="A62" s="2" t="s">
        <v>33</v>
      </c>
      <c r="B62" s="2"/>
      <c r="C62" s="2"/>
      <c r="D62" s="62">
        <f>D51-D60</f>
        <v>-158568</v>
      </c>
      <c r="E62" s="6">
        <f>E51-E60</f>
        <v>-35357</v>
      </c>
      <c r="F62" s="6">
        <f t="shared" si="4"/>
        <v>-193925</v>
      </c>
      <c r="G62" s="62">
        <f>G51-G60</f>
        <v>513.30999999999767</v>
      </c>
      <c r="H62" s="6">
        <f>H51-H60</f>
        <v>3892</v>
      </c>
      <c r="I62" s="6">
        <f t="shared" si="5"/>
        <v>4405.3099999999977</v>
      </c>
      <c r="J62" s="62">
        <f>J51-J60</f>
        <v>-21.36</v>
      </c>
      <c r="K62" s="6">
        <f>K51-K60</f>
        <v>0</v>
      </c>
      <c r="L62" s="6">
        <f t="shared" si="6"/>
        <v>-21.36</v>
      </c>
      <c r="M62" s="62">
        <f>M51-M60</f>
        <v>8338.1700000000019</v>
      </c>
      <c r="N62" s="6">
        <f>N51-N60</f>
        <v>-8336</v>
      </c>
      <c r="O62" s="6">
        <f>M62+N62</f>
        <v>2.1700000000018917</v>
      </c>
      <c r="P62" s="6">
        <f>P51-P60</f>
        <v>-18932.169999999998</v>
      </c>
      <c r="Q62" s="6">
        <f>Q51-Q60</f>
        <v>18931</v>
      </c>
      <c r="R62" s="6">
        <f>P62+Q62</f>
        <v>-1.1699999999982538</v>
      </c>
      <c r="S62" s="6">
        <f>S51-S60</f>
        <v>0</v>
      </c>
      <c r="T62" s="6">
        <f>T51-T60</f>
        <v>0</v>
      </c>
      <c r="U62" s="6">
        <f>S62+T62</f>
        <v>0</v>
      </c>
      <c r="V62" s="6">
        <f>V51-V60</f>
        <v>-11128.689999999999</v>
      </c>
      <c r="W62" s="6">
        <f>W51-W60</f>
        <v>0</v>
      </c>
      <c r="X62" s="6">
        <f>V62+W62</f>
        <v>-11128.689999999999</v>
      </c>
      <c r="Y62" s="26">
        <f t="shared" si="7"/>
        <v>-200668.74</v>
      </c>
    </row>
    <row r="63" spans="1:27" x14ac:dyDescent="0.25">
      <c r="A63" s="2"/>
      <c r="B63" s="2"/>
      <c r="C63" s="2"/>
      <c r="Y63" s="26"/>
    </row>
    <row r="64" spans="1:27" x14ac:dyDescent="0.25">
      <c r="A64" s="38" t="s">
        <v>301</v>
      </c>
      <c r="B64" s="38"/>
      <c r="C64" s="38"/>
      <c r="D64" s="21"/>
      <c r="E64" s="21"/>
      <c r="F64" s="6">
        <f t="shared" si="4"/>
        <v>0</v>
      </c>
      <c r="G64" s="41"/>
      <c r="H64" s="21"/>
      <c r="I64" s="6">
        <f t="shared" si="5"/>
        <v>0</v>
      </c>
      <c r="J64" s="21"/>
      <c r="K64" s="21"/>
      <c r="L64" s="6">
        <f t="shared" si="6"/>
        <v>0</v>
      </c>
      <c r="M64" s="21"/>
      <c r="N64" s="21"/>
      <c r="O64" s="6">
        <f>M64+N64</f>
        <v>0</v>
      </c>
      <c r="P64" s="21"/>
      <c r="Q64" s="21"/>
      <c r="R64" s="6">
        <f>P64+Q64</f>
        <v>0</v>
      </c>
      <c r="S64" s="21"/>
      <c r="T64" s="21"/>
      <c r="U64" s="6">
        <f>S64+T64</f>
        <v>0</v>
      </c>
      <c r="V64" s="21"/>
      <c r="W64" s="21"/>
      <c r="X64" s="6">
        <f>V64+W64</f>
        <v>0</v>
      </c>
      <c r="Y64" s="26">
        <f t="shared" si="7"/>
        <v>0</v>
      </c>
    </row>
    <row r="65" spans="1:25" x14ac:dyDescent="0.25">
      <c r="A65" t="s">
        <v>34</v>
      </c>
      <c r="D65" s="21">
        <v>265845.37</v>
      </c>
      <c r="E65" s="21"/>
      <c r="F65" s="6">
        <f t="shared" si="4"/>
        <v>265845.37</v>
      </c>
      <c r="G65" s="41"/>
      <c r="H65" s="21"/>
      <c r="I65" s="6">
        <f t="shared" si="5"/>
        <v>0</v>
      </c>
      <c r="J65" s="21">
        <v>21.36</v>
      </c>
      <c r="K65" s="21"/>
      <c r="L65" s="6">
        <f t="shared" si="6"/>
        <v>21.36</v>
      </c>
      <c r="M65" s="21"/>
      <c r="N65" s="21"/>
      <c r="O65" s="6">
        <f>M65+N65</f>
        <v>0</v>
      </c>
      <c r="P65" s="21"/>
      <c r="Q65" s="21"/>
      <c r="R65" s="6">
        <f>P65+Q65</f>
        <v>0</v>
      </c>
      <c r="S65" s="21"/>
      <c r="T65" s="21"/>
      <c r="U65" s="6">
        <f>S65+T65</f>
        <v>0</v>
      </c>
      <c r="V65" s="21"/>
      <c r="W65" s="21"/>
      <c r="X65" s="6">
        <f>V65+W65</f>
        <v>0</v>
      </c>
      <c r="Y65" s="26">
        <f t="shared" si="7"/>
        <v>265866.73</v>
      </c>
    </row>
    <row r="66" spans="1:25" x14ac:dyDescent="0.25">
      <c r="A66" t="s">
        <v>35</v>
      </c>
      <c r="D66" s="21">
        <v>71917.600000000006</v>
      </c>
      <c r="E66" s="21"/>
      <c r="F66" s="6">
        <f t="shared" si="4"/>
        <v>71917.600000000006</v>
      </c>
      <c r="G66" s="41">
        <v>4408.5</v>
      </c>
      <c r="H66" s="21"/>
      <c r="I66" s="6">
        <f t="shared" si="5"/>
        <v>4408.5</v>
      </c>
      <c r="J66" s="21"/>
      <c r="K66" s="21"/>
      <c r="L66" s="6">
        <f t="shared" si="6"/>
        <v>0</v>
      </c>
      <c r="M66" s="21"/>
      <c r="N66" s="21"/>
      <c r="O66" s="6">
        <f>M66+N66</f>
        <v>0</v>
      </c>
      <c r="P66" s="21"/>
      <c r="Q66" s="21"/>
      <c r="R66" s="6">
        <f>P66+Q66</f>
        <v>0</v>
      </c>
      <c r="S66" s="21"/>
      <c r="T66" s="21"/>
      <c r="U66" s="6">
        <f>S66+T66</f>
        <v>0</v>
      </c>
      <c r="V66" s="21"/>
      <c r="W66" s="21"/>
      <c r="X66" s="6">
        <f>V66+W66</f>
        <v>0</v>
      </c>
      <c r="Y66" s="26">
        <f t="shared" si="7"/>
        <v>76326.100000000006</v>
      </c>
    </row>
    <row r="67" spans="1:25" x14ac:dyDescent="0.25">
      <c r="A67" s="2" t="s">
        <v>36</v>
      </c>
      <c r="B67" s="2"/>
      <c r="C67" s="2"/>
      <c r="D67" s="6">
        <f>D64+D65-D66</f>
        <v>193927.77</v>
      </c>
      <c r="E67" s="6">
        <f>E64+E65-E66</f>
        <v>0</v>
      </c>
      <c r="F67" s="6">
        <f t="shared" si="4"/>
        <v>193927.77</v>
      </c>
      <c r="G67" s="48">
        <f>G64+G65-G66</f>
        <v>-4408.5</v>
      </c>
      <c r="H67" s="6">
        <f>H64+H65-H66</f>
        <v>0</v>
      </c>
      <c r="I67" s="6">
        <f t="shared" si="5"/>
        <v>-4408.5</v>
      </c>
      <c r="J67" s="48">
        <f>J64+J65-J66</f>
        <v>21.36</v>
      </c>
      <c r="K67" s="6">
        <f>SUM(K64:K66)</f>
        <v>0</v>
      </c>
      <c r="L67" s="6">
        <f t="shared" si="6"/>
        <v>21.36</v>
      </c>
      <c r="M67" s="6">
        <f>M64+M65-M66</f>
        <v>0</v>
      </c>
      <c r="N67" s="6">
        <f>N64+N65-N66</f>
        <v>0</v>
      </c>
      <c r="O67" s="6">
        <f>M67+N67</f>
        <v>0</v>
      </c>
      <c r="P67" s="6">
        <f>P64+P65-P66</f>
        <v>0</v>
      </c>
      <c r="Q67" s="6">
        <f>Q64+Q65-Q66</f>
        <v>0</v>
      </c>
      <c r="R67" s="6">
        <f>P67+Q67</f>
        <v>0</v>
      </c>
      <c r="S67" s="6">
        <f>S64+S65-S66</f>
        <v>0</v>
      </c>
      <c r="T67" s="6">
        <f>T64+T65-T66</f>
        <v>0</v>
      </c>
      <c r="U67" s="6">
        <f>S67+T67</f>
        <v>0</v>
      </c>
      <c r="V67" s="6">
        <f>V64+V65-V66</f>
        <v>0</v>
      </c>
      <c r="W67" s="6">
        <f>W64+W65-W66</f>
        <v>0</v>
      </c>
      <c r="X67" s="6">
        <f>V67+W67</f>
        <v>0</v>
      </c>
      <c r="Y67" s="26">
        <f t="shared" si="7"/>
        <v>189540.62999999998</v>
      </c>
    </row>
    <row r="68" spans="1:25" x14ac:dyDescent="0.25">
      <c r="Y68" s="26"/>
    </row>
    <row r="69" spans="1:25" x14ac:dyDescent="0.25">
      <c r="A69" s="2" t="s">
        <v>37</v>
      </c>
      <c r="B69" s="2"/>
      <c r="C69" s="2"/>
      <c r="D69" s="6">
        <f t="shared" ref="D69:X69" si="21">D62+D67</f>
        <v>35359.76999999999</v>
      </c>
      <c r="E69" s="6">
        <f t="shared" si="21"/>
        <v>-35357</v>
      </c>
      <c r="F69" s="6">
        <f t="shared" si="21"/>
        <v>2.7699999999895226</v>
      </c>
      <c r="G69" s="48">
        <f t="shared" si="21"/>
        <v>-3895.1900000000023</v>
      </c>
      <c r="H69" s="6">
        <f t="shared" si="21"/>
        <v>3892</v>
      </c>
      <c r="I69" s="6">
        <f t="shared" si="21"/>
        <v>-3.1900000000023283</v>
      </c>
      <c r="J69" s="48">
        <f t="shared" si="21"/>
        <v>0</v>
      </c>
      <c r="K69" s="6">
        <f t="shared" si="21"/>
        <v>0</v>
      </c>
      <c r="L69" s="6">
        <f t="shared" si="6"/>
        <v>0</v>
      </c>
      <c r="M69" s="6">
        <f t="shared" si="21"/>
        <v>8338.1700000000019</v>
      </c>
      <c r="N69" s="6">
        <f t="shared" si="21"/>
        <v>-8336</v>
      </c>
      <c r="O69" s="6">
        <f t="shared" si="21"/>
        <v>2.1700000000018917</v>
      </c>
      <c r="P69" s="6">
        <f>P62+P67</f>
        <v>-18932.169999999998</v>
      </c>
      <c r="Q69" s="6">
        <f>Q62+Q67</f>
        <v>18931</v>
      </c>
      <c r="R69" s="6">
        <f>R62+R67</f>
        <v>-1.1699999999982538</v>
      </c>
      <c r="S69" s="6">
        <f t="shared" si="21"/>
        <v>0</v>
      </c>
      <c r="T69" s="6">
        <f t="shared" si="21"/>
        <v>0</v>
      </c>
      <c r="U69" s="6">
        <f t="shared" si="21"/>
        <v>0</v>
      </c>
      <c r="V69" s="6">
        <f t="shared" si="21"/>
        <v>-11128.689999999999</v>
      </c>
      <c r="W69" s="6">
        <f t="shared" si="21"/>
        <v>0</v>
      </c>
      <c r="X69" s="6">
        <f t="shared" si="21"/>
        <v>-11128.689999999999</v>
      </c>
      <c r="Y69" s="6">
        <f t="shared" ref="Y69" si="22">Y62+Y67</f>
        <v>-11128.110000000015</v>
      </c>
    </row>
    <row r="70" spans="1:25" x14ac:dyDescent="0.25">
      <c r="A70" t="s">
        <v>38</v>
      </c>
      <c r="D70" s="6">
        <f t="shared" ref="D70:X70" si="23">D71-D69</f>
        <v>-0.92999999999301508</v>
      </c>
      <c r="E70" s="6">
        <f t="shared" si="23"/>
        <v>0</v>
      </c>
      <c r="F70" s="6">
        <f t="shared" si="23"/>
        <v>-0.92999999999301508</v>
      </c>
      <c r="G70" s="48">
        <f t="shared" si="23"/>
        <v>1.0500000000024556</v>
      </c>
      <c r="H70" s="6">
        <f t="shared" si="23"/>
        <v>0</v>
      </c>
      <c r="I70" s="6">
        <f t="shared" si="23"/>
        <v>1.0500000000024556</v>
      </c>
      <c r="J70" s="48">
        <f t="shared" ref="J70:K70" si="24">J63+J68</f>
        <v>0</v>
      </c>
      <c r="K70" s="6">
        <f t="shared" si="24"/>
        <v>0</v>
      </c>
      <c r="L70" s="6">
        <f t="shared" si="6"/>
        <v>0</v>
      </c>
      <c r="M70" s="6">
        <f t="shared" si="23"/>
        <v>-1.0200000000022555</v>
      </c>
      <c r="N70" s="6">
        <f t="shared" si="23"/>
        <v>0</v>
      </c>
      <c r="O70" s="6">
        <f t="shared" si="23"/>
        <v>-1.0200000000022555</v>
      </c>
      <c r="P70" s="6">
        <f>P71-P69</f>
        <v>-4.0000000000873115E-2</v>
      </c>
      <c r="Q70" s="6">
        <f>Q71-Q69</f>
        <v>0</v>
      </c>
      <c r="R70" s="6">
        <f>R71-R69</f>
        <v>-4.0000000000873115E-2</v>
      </c>
      <c r="S70" s="6">
        <f t="shared" si="23"/>
        <v>0</v>
      </c>
      <c r="T70" s="6">
        <f t="shared" si="23"/>
        <v>0</v>
      </c>
      <c r="U70" s="6">
        <f t="shared" si="23"/>
        <v>0</v>
      </c>
      <c r="V70" s="6">
        <f t="shared" si="23"/>
        <v>28495.91</v>
      </c>
      <c r="W70" s="6">
        <f t="shared" si="23"/>
        <v>0</v>
      </c>
      <c r="X70" s="6">
        <f t="shared" si="23"/>
        <v>28495.91</v>
      </c>
      <c r="Y70" s="6">
        <f t="shared" ref="Y70" si="25">Y71-Y69</f>
        <v>28494.970000000012</v>
      </c>
    </row>
    <row r="71" spans="1:25" x14ac:dyDescent="0.25">
      <c r="A71" s="2" t="s">
        <v>39</v>
      </c>
      <c r="B71" s="2"/>
      <c r="C71" s="2"/>
      <c r="D71" s="6">
        <f t="shared" ref="D71:X71" si="26">D41</f>
        <v>35358.839999999997</v>
      </c>
      <c r="E71" s="6">
        <f t="shared" si="26"/>
        <v>-35357</v>
      </c>
      <c r="F71" s="6">
        <f t="shared" si="26"/>
        <v>1.8399999999965075</v>
      </c>
      <c r="G71" s="48">
        <f t="shared" si="26"/>
        <v>-3894.14</v>
      </c>
      <c r="H71" s="6">
        <f t="shared" si="26"/>
        <v>3892</v>
      </c>
      <c r="I71" s="6">
        <f t="shared" si="26"/>
        <v>-2.1399999999998727</v>
      </c>
      <c r="J71" s="48">
        <f t="shared" ref="J71:K71" si="27">J64+J69</f>
        <v>0</v>
      </c>
      <c r="K71" s="6">
        <f t="shared" si="27"/>
        <v>0</v>
      </c>
      <c r="L71" s="6">
        <f t="shared" si="6"/>
        <v>0</v>
      </c>
      <c r="M71" s="6">
        <f t="shared" si="26"/>
        <v>8337.15</v>
      </c>
      <c r="N71" s="6">
        <f t="shared" si="26"/>
        <v>-8336</v>
      </c>
      <c r="O71" s="6">
        <f t="shared" si="26"/>
        <v>1.1499999999996362</v>
      </c>
      <c r="P71" s="6">
        <f>P41</f>
        <v>-18932.21</v>
      </c>
      <c r="Q71" s="6">
        <f>Q41</f>
        <v>18931</v>
      </c>
      <c r="R71" s="6">
        <f>R41</f>
        <v>-1.2099999999991269</v>
      </c>
      <c r="S71" s="6">
        <f t="shared" si="26"/>
        <v>0</v>
      </c>
      <c r="T71" s="6">
        <f t="shared" si="26"/>
        <v>0</v>
      </c>
      <c r="U71" s="6">
        <f t="shared" si="26"/>
        <v>0</v>
      </c>
      <c r="V71" s="6">
        <f t="shared" si="26"/>
        <v>17367.22</v>
      </c>
      <c r="W71" s="6">
        <f t="shared" si="26"/>
        <v>0</v>
      </c>
      <c r="X71" s="6">
        <f t="shared" si="26"/>
        <v>17367.22</v>
      </c>
      <c r="Y71" s="6">
        <f t="shared" ref="Y71" si="28">Y41</f>
        <v>17366.859999999997</v>
      </c>
    </row>
  </sheetData>
  <customSheetViews>
    <customSheetView guid="{E68B3865-8D72-47E7-BE32-0FF7EB09E889}" fitToPage="1">
      <pane xSplit="1" ySplit="6" topLeftCell="K55" activePane="bottomRight" state="frozen"/>
      <selection pane="bottomRight" activeCell="A4" sqref="A4"/>
      <pageMargins left="0.7" right="0.7" top="0.75" bottom="0.75" header="0.3" footer="0.3"/>
      <pageSetup scale="43" orientation="landscape" horizontalDpi="1200" r:id="rId1"/>
    </customSheetView>
    <customSheetView guid="{2B2709E2-6DF4-4CC4-88D0-056FB306137C}" fitToPage="1">
      <pane xSplit="1" ySplit="6" topLeftCell="B46" activePane="bottomRight" state="frozen"/>
      <selection pane="bottomRight" activeCell="J66" sqref="J66"/>
      <pageMargins left="0.7" right="0.7" top="0.75" bottom="0.75" header="0.3" footer="0.3"/>
      <pageSetup scale="43" orientation="landscape" horizontalDpi="1200" r:id="rId2"/>
    </customSheetView>
    <customSheetView guid="{EC03C3C8-7E57-47C6-8413-F484E8C46A0C}" showPageBreaks="1" fitToPage="1">
      <pane xSplit="1" ySplit="6" topLeftCell="B41" activePane="bottomRight" state="frozen"/>
      <selection pane="bottomRight" activeCell="A50" sqref="A50"/>
      <pageMargins left="0.7" right="0.7" top="0.75" bottom="0.75" header="0.3" footer="0.3"/>
      <pageSetup scale="43" orientation="landscape" horizontalDpi="1200" r:id="rId3"/>
    </customSheetView>
    <customSheetView guid="{D62C3EC3-27D1-41F3-9A4E-06307CA202CE}" showPageBreaks="1" fitToPage="1" showRuler="0">
      <pane xSplit="1" ySplit="6" topLeftCell="M7" activePane="bottomRight" state="frozen"/>
      <selection pane="bottomRight" activeCell="Q49" sqref="Q49"/>
      <pageMargins left="0.7" right="0.7" top="0.75" bottom="0.75" header="0.3" footer="0.3"/>
      <pageSetup scale="43" orientation="landscape" horizontalDpi="1200" r:id="rId4"/>
      <headerFooter alignWithMargins="0"/>
    </customSheetView>
    <customSheetView guid="{A6F79E61-D6A3-44FD-B4A4-4724DF74349B}" showPageBreaks="1" fitToPage="1">
      <pane xSplit="1" ySplit="6" topLeftCell="H7" activePane="bottomRight" state="frozen"/>
      <selection pane="bottomRight" activeCell="Y12" sqref="Y12"/>
      <pageMargins left="0.7" right="0.7" top="0.75" bottom="0.75" header="0.3" footer="0.3"/>
      <pageSetup scale="37" orientation="landscape" horizontalDpi="1200" r:id="rId5"/>
    </customSheetView>
    <customSheetView guid="{DE6E911D-85BF-467A-AA00-1E84C5349CF7}" showPageBreaks="1" fitToPage="1">
      <pane xSplit="1" ySplit="6" topLeftCell="B7" activePane="bottomRight" state="frozen"/>
      <selection pane="bottomRight" activeCell="I8" sqref="I8"/>
      <pageMargins left="0.7" right="0.7" top="0.75" bottom="0.75" header="0.3" footer="0.3"/>
      <pageSetup scale="35" orientation="landscape" r:id="rId6"/>
    </customSheetView>
  </customSheetViews>
  <phoneticPr fontId="0" type="noConversion"/>
  <pageMargins left="0.7" right="0.7" top="0.75" bottom="0.75" header="0.3" footer="0.3"/>
  <pageSetup scale="43" orientation="landscape" horizontalDpi="1200" r:id="rId7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workbookViewId="0">
      <pane xSplit="1" ySplit="5" topLeftCell="Q51" activePane="bottomRight" state="frozen"/>
      <selection pane="topRight" activeCell="B1" sqref="B1"/>
      <selection pane="bottomLeft" activeCell="A6" sqref="A6"/>
      <selection pane="bottomRight" activeCell="A4" sqref="A4"/>
    </sheetView>
  </sheetViews>
  <sheetFormatPr defaultRowHeight="15" x14ac:dyDescent="0.25"/>
  <cols>
    <col min="1" max="1" width="34" customWidth="1"/>
    <col min="2" max="2" width="15" style="48" bestFit="1" customWidth="1"/>
    <col min="3" max="3" width="12.7109375" style="6" bestFit="1" customWidth="1"/>
    <col min="4" max="5" width="13.5703125" style="6" bestFit="1" customWidth="1"/>
    <col min="6" max="6" width="12.7109375" style="6" bestFit="1" customWidth="1"/>
    <col min="7" max="7" width="13.5703125" style="6" bestFit="1" customWidth="1"/>
    <col min="8" max="8" width="13.42578125" style="48" bestFit="1" customWidth="1"/>
    <col min="9" max="9" width="12.7109375" style="6" bestFit="1" customWidth="1"/>
    <col min="10" max="10" width="11.85546875" style="6" customWidth="1"/>
    <col min="11" max="11" width="10.85546875" style="6" bestFit="1" customWidth="1"/>
    <col min="12" max="13" width="11.85546875" style="6" customWidth="1"/>
    <col min="14" max="14" width="14" style="6" customWidth="1"/>
    <col min="15" max="15" width="11.85546875" style="6" bestFit="1" customWidth="1"/>
    <col min="16" max="17" width="11.85546875" style="6" customWidth="1"/>
    <col min="18" max="18" width="12.7109375" style="6" bestFit="1" customWidth="1"/>
    <col min="19" max="19" width="11.85546875" style="6" customWidth="1"/>
    <col min="20" max="20" width="13.85546875" style="6" customWidth="1"/>
    <col min="21" max="21" width="11.85546875" style="6" bestFit="1" customWidth="1"/>
    <col min="22" max="23" width="11.85546875" style="6" customWidth="1"/>
    <col min="24" max="24" width="13.140625" style="6" customWidth="1"/>
    <col min="25" max="25" width="18.7109375" style="6" customWidth="1"/>
  </cols>
  <sheetData>
    <row r="1" spans="1:25" ht="23.25" x14ac:dyDescent="0.35">
      <c r="A1" s="5" t="s">
        <v>0</v>
      </c>
    </row>
    <row r="2" spans="1:25" x14ac:dyDescent="0.25">
      <c r="A2" t="s">
        <v>1</v>
      </c>
    </row>
    <row r="3" spans="1:25" x14ac:dyDescent="0.25">
      <c r="A3" s="1">
        <v>43435</v>
      </c>
    </row>
    <row r="4" spans="1:25" x14ac:dyDescent="0.25">
      <c r="A4" s="1"/>
    </row>
    <row r="5" spans="1:25" ht="60" x14ac:dyDescent="0.25">
      <c r="A5" s="1"/>
      <c r="B5" s="49" t="s">
        <v>40</v>
      </c>
      <c r="C5" s="7" t="s">
        <v>47</v>
      </c>
      <c r="D5" s="7" t="s">
        <v>49</v>
      </c>
      <c r="E5" s="7" t="s">
        <v>41</v>
      </c>
      <c r="F5" s="7" t="s">
        <v>47</v>
      </c>
      <c r="G5" s="7" t="s">
        <v>48</v>
      </c>
      <c r="H5" s="49" t="s">
        <v>42</v>
      </c>
      <c r="I5" s="7" t="s">
        <v>47</v>
      </c>
      <c r="J5" s="7" t="s">
        <v>50</v>
      </c>
      <c r="K5" s="7" t="s">
        <v>43</v>
      </c>
      <c r="L5" s="7" t="s">
        <v>47</v>
      </c>
      <c r="M5" s="7" t="s">
        <v>51</v>
      </c>
      <c r="N5" s="7" t="s">
        <v>52</v>
      </c>
      <c r="O5" s="7" t="s">
        <v>44</v>
      </c>
      <c r="P5" s="7" t="s">
        <v>47</v>
      </c>
      <c r="Q5" s="7" t="s">
        <v>181</v>
      </c>
      <c r="R5" s="7" t="s">
        <v>45</v>
      </c>
      <c r="S5" s="7" t="s">
        <v>47</v>
      </c>
      <c r="T5" s="7" t="s">
        <v>182</v>
      </c>
      <c r="U5" s="7" t="s">
        <v>46</v>
      </c>
      <c r="V5" s="7" t="s">
        <v>47</v>
      </c>
      <c r="W5" s="7" t="s">
        <v>183</v>
      </c>
      <c r="X5" s="7" t="s">
        <v>184</v>
      </c>
      <c r="Y5" s="7" t="s">
        <v>83</v>
      </c>
    </row>
    <row r="6" spans="1:25" x14ac:dyDescent="0.25">
      <c r="X6" s="22"/>
      <c r="Y6" s="22"/>
    </row>
    <row r="7" spans="1:25" x14ac:dyDescent="0.25">
      <c r="A7" s="3" t="s">
        <v>2</v>
      </c>
      <c r="X7" s="22"/>
      <c r="Y7" s="22"/>
    </row>
    <row r="8" spans="1:25" x14ac:dyDescent="0.25">
      <c r="A8" s="4" t="s">
        <v>3</v>
      </c>
      <c r="B8" s="53"/>
      <c r="C8" s="23"/>
      <c r="D8" s="6">
        <f>B8+C8</f>
        <v>0</v>
      </c>
      <c r="E8" s="20">
        <v>-203763.24</v>
      </c>
      <c r="F8" s="20"/>
      <c r="G8" s="55">
        <f>E8+F8</f>
        <v>-203763.24</v>
      </c>
      <c r="H8" s="52"/>
      <c r="I8" s="20"/>
      <c r="J8" s="6">
        <f>H8+I8</f>
        <v>0</v>
      </c>
      <c r="K8" s="20"/>
      <c r="L8" s="20"/>
      <c r="M8" s="6">
        <f>K8+L8</f>
        <v>0</v>
      </c>
      <c r="N8" s="6">
        <f>D8+G8+J8+M8</f>
        <v>-203763.24</v>
      </c>
      <c r="O8" s="20"/>
      <c r="P8" s="20"/>
      <c r="Q8" s="6">
        <f>O8+P8</f>
        <v>0</v>
      </c>
      <c r="R8" s="20"/>
      <c r="S8" s="20"/>
      <c r="T8" s="6">
        <f>R8+S8</f>
        <v>0</v>
      </c>
      <c r="U8" s="20"/>
      <c r="V8" s="20"/>
      <c r="W8" s="6">
        <f>U8+V8</f>
        <v>0</v>
      </c>
      <c r="X8" s="20"/>
      <c r="Y8" s="22">
        <f t="shared" ref="Y8:Y13" si="0">N8+Q8+T8+W8</f>
        <v>-203763.24</v>
      </c>
    </row>
    <row r="9" spans="1:25" x14ac:dyDescent="0.25">
      <c r="A9" s="4" t="s">
        <v>4</v>
      </c>
      <c r="B9" s="58"/>
      <c r="C9" s="23"/>
      <c r="D9" s="6">
        <f>B9+C9</f>
        <v>0</v>
      </c>
      <c r="E9" s="20"/>
      <c r="F9" s="20"/>
      <c r="G9" s="6">
        <f>E9+F9</f>
        <v>0</v>
      </c>
      <c r="H9" s="52"/>
      <c r="I9" s="20"/>
      <c r="J9" s="6">
        <f>H9+I9</f>
        <v>0</v>
      </c>
      <c r="K9" s="20"/>
      <c r="L9" s="20"/>
      <c r="M9" s="6">
        <f>K9+L9</f>
        <v>0</v>
      </c>
      <c r="N9" s="6">
        <f>D9+G9+J9+M9</f>
        <v>0</v>
      </c>
      <c r="O9" s="20"/>
      <c r="P9" s="20"/>
      <c r="Q9" s="6">
        <f>O9+P9</f>
        <v>0</v>
      </c>
      <c r="R9" s="20"/>
      <c r="S9" s="20"/>
      <c r="T9" s="6">
        <f>R9+S9</f>
        <v>0</v>
      </c>
      <c r="U9" s="20"/>
      <c r="V9" s="20"/>
      <c r="W9" s="6">
        <f>U9+V9</f>
        <v>0</v>
      </c>
      <c r="X9" s="20"/>
      <c r="Y9" s="22">
        <f t="shared" si="0"/>
        <v>0</v>
      </c>
    </row>
    <row r="10" spans="1:25" x14ac:dyDescent="0.25">
      <c r="A10" s="4" t="s">
        <v>6</v>
      </c>
      <c r="B10" s="53"/>
      <c r="C10" s="23"/>
      <c r="D10" s="6">
        <f>B10+C10</f>
        <v>0</v>
      </c>
      <c r="E10" s="20">
        <v>1488.21</v>
      </c>
      <c r="F10" s="20"/>
      <c r="G10" s="6">
        <f>E10+F10</f>
        <v>1488.21</v>
      </c>
      <c r="H10" s="52"/>
      <c r="I10" s="20"/>
      <c r="J10" s="6">
        <f>H10+I10</f>
        <v>0</v>
      </c>
      <c r="K10" s="20"/>
      <c r="L10" s="20"/>
      <c r="M10" s="6">
        <f>K10+L10</f>
        <v>0</v>
      </c>
      <c r="N10" s="6">
        <f>D10+G10+J10+M10</f>
        <v>1488.21</v>
      </c>
      <c r="O10" s="20"/>
      <c r="P10" s="20"/>
      <c r="Q10" s="6">
        <f>O10+P10</f>
        <v>0</v>
      </c>
      <c r="R10" s="20"/>
      <c r="S10" s="20"/>
      <c r="T10" s="6">
        <f>R10+S10</f>
        <v>0</v>
      </c>
      <c r="U10" s="20"/>
      <c r="V10" s="20"/>
      <c r="W10" s="6">
        <f>U10+V10</f>
        <v>0</v>
      </c>
      <c r="X10" s="20"/>
      <c r="Y10" s="22">
        <f t="shared" si="0"/>
        <v>1488.21</v>
      </c>
    </row>
    <row r="11" spans="1:25" x14ac:dyDescent="0.25">
      <c r="A11" s="4" t="s">
        <v>5</v>
      </c>
      <c r="B11" s="53"/>
      <c r="C11" s="23"/>
      <c r="D11" s="6">
        <f>B11+C11</f>
        <v>0</v>
      </c>
      <c r="E11" s="20">
        <v>263340</v>
      </c>
      <c r="F11" s="20">
        <v>17491</v>
      </c>
      <c r="G11" s="6">
        <f>E11+F11</f>
        <v>280831</v>
      </c>
      <c r="H11" s="20"/>
      <c r="I11" s="20"/>
      <c r="J11" s="6">
        <f>H11+I11</f>
        <v>0</v>
      </c>
      <c r="K11" s="20"/>
      <c r="L11" s="20"/>
      <c r="M11" s="6">
        <f>K11+L11</f>
        <v>0</v>
      </c>
      <c r="N11" s="6">
        <f>D11+G11+J11+M11</f>
        <v>280831</v>
      </c>
      <c r="O11" s="20"/>
      <c r="P11" s="20"/>
      <c r="Q11" s="6">
        <f>O11+P11</f>
        <v>0</v>
      </c>
      <c r="R11" s="20"/>
      <c r="S11" s="20"/>
      <c r="T11" s="6">
        <f>R11+S11</f>
        <v>0</v>
      </c>
      <c r="U11" s="20"/>
      <c r="V11" s="20"/>
      <c r="W11" s="6">
        <f>U11+V11</f>
        <v>0</v>
      </c>
      <c r="X11" s="20"/>
      <c r="Y11" s="22">
        <f t="shared" si="0"/>
        <v>280831</v>
      </c>
    </row>
    <row r="12" spans="1:25" x14ac:dyDescent="0.25">
      <c r="A12" s="4" t="s">
        <v>61</v>
      </c>
      <c r="B12" s="53"/>
      <c r="C12" s="23"/>
      <c r="D12" s="6">
        <f>B12+C12</f>
        <v>0</v>
      </c>
      <c r="E12" s="20"/>
      <c r="F12" s="20"/>
      <c r="G12" s="6">
        <f>E12+F12</f>
        <v>0</v>
      </c>
      <c r="H12" s="52"/>
      <c r="I12" s="20"/>
      <c r="J12" s="6">
        <f>H12+I12</f>
        <v>0</v>
      </c>
      <c r="K12" s="20"/>
      <c r="L12" s="20"/>
      <c r="M12" s="6">
        <f>K12+L12</f>
        <v>0</v>
      </c>
      <c r="N12" s="6">
        <f>D12+G12+J12+M12</f>
        <v>0</v>
      </c>
      <c r="O12" s="20"/>
      <c r="P12" s="20"/>
      <c r="Q12" s="6">
        <f>O12+P12</f>
        <v>0</v>
      </c>
      <c r="R12" s="20"/>
      <c r="S12" s="20"/>
      <c r="T12" s="6">
        <f>R12+S12</f>
        <v>0</v>
      </c>
      <c r="U12" s="20"/>
      <c r="V12" s="20"/>
      <c r="W12" s="6">
        <f>U12+V12</f>
        <v>0</v>
      </c>
      <c r="X12" s="20"/>
      <c r="Y12" s="22">
        <f t="shared" si="0"/>
        <v>0</v>
      </c>
    </row>
    <row r="13" spans="1:25" x14ac:dyDescent="0.25">
      <c r="A13" s="2" t="s">
        <v>7</v>
      </c>
      <c r="B13" s="48">
        <f>SUM(B8:B12)</f>
        <v>0</v>
      </c>
      <c r="C13" s="6">
        <f t="shared" ref="C13:U13" si="1">SUM(C8:C12)</f>
        <v>0</v>
      </c>
      <c r="D13" s="6">
        <f t="shared" si="1"/>
        <v>0</v>
      </c>
      <c r="E13" s="6">
        <f t="shared" si="1"/>
        <v>61064.97</v>
      </c>
      <c r="F13" s="6">
        <f t="shared" si="1"/>
        <v>17491</v>
      </c>
      <c r="G13" s="6">
        <f t="shared" si="1"/>
        <v>78555.97</v>
      </c>
      <c r="H13" s="48">
        <f t="shared" si="1"/>
        <v>0</v>
      </c>
      <c r="I13" s="6">
        <f t="shared" si="1"/>
        <v>0</v>
      </c>
      <c r="J13" s="6">
        <f t="shared" si="1"/>
        <v>0</v>
      </c>
      <c r="K13" s="6">
        <f t="shared" si="1"/>
        <v>0</v>
      </c>
      <c r="L13" s="6">
        <f t="shared" si="1"/>
        <v>0</v>
      </c>
      <c r="M13" s="6">
        <f t="shared" si="1"/>
        <v>0</v>
      </c>
      <c r="N13" s="6">
        <f t="shared" si="1"/>
        <v>78555.97</v>
      </c>
      <c r="O13" s="6">
        <f t="shared" si="1"/>
        <v>0</v>
      </c>
      <c r="P13" s="6">
        <f>SUM(P8:P12)</f>
        <v>0</v>
      </c>
      <c r="Q13" s="6">
        <f>SUM(Q8:Q12)</f>
        <v>0</v>
      </c>
      <c r="R13" s="6">
        <f t="shared" si="1"/>
        <v>0</v>
      </c>
      <c r="S13" s="6">
        <f t="shared" si="1"/>
        <v>0</v>
      </c>
      <c r="T13" s="6">
        <f t="shared" si="1"/>
        <v>0</v>
      </c>
      <c r="U13" s="6">
        <f t="shared" si="1"/>
        <v>0</v>
      </c>
      <c r="V13" s="6">
        <f>SUM(V8:V12)</f>
        <v>0</v>
      </c>
      <c r="W13" s="6">
        <f>SUM(W8:W12)</f>
        <v>0</v>
      </c>
      <c r="X13" s="22">
        <f>SUM(X8:X12)</f>
        <v>0</v>
      </c>
      <c r="Y13" s="22">
        <f t="shared" si="0"/>
        <v>78555.97</v>
      </c>
    </row>
    <row r="14" spans="1:25" x14ac:dyDescent="0.25">
      <c r="X14" s="22"/>
      <c r="Y14" s="22"/>
    </row>
    <row r="15" spans="1:25" x14ac:dyDescent="0.25">
      <c r="A15" s="3" t="s">
        <v>8</v>
      </c>
      <c r="X15" s="22"/>
      <c r="Y15" s="22"/>
    </row>
    <row r="16" spans="1:25" x14ac:dyDescent="0.25">
      <c r="A16" s="4" t="s">
        <v>9</v>
      </c>
      <c r="B16" s="52"/>
      <c r="C16" s="20"/>
      <c r="D16" s="6">
        <f>B16+C16</f>
        <v>0</v>
      </c>
      <c r="E16" s="20">
        <v>77279.929999999993</v>
      </c>
      <c r="F16" s="20"/>
      <c r="G16" s="6">
        <f>E16+F16</f>
        <v>77279.929999999993</v>
      </c>
      <c r="H16" s="52"/>
      <c r="I16" s="20"/>
      <c r="J16" s="6">
        <f>H16+I16</f>
        <v>0</v>
      </c>
      <c r="K16" s="20"/>
      <c r="L16" s="20"/>
      <c r="M16" s="6">
        <f>K16+L16</f>
        <v>0</v>
      </c>
      <c r="N16" s="6">
        <f t="shared" ref="N16:N21" si="2">D16+G16+J16+M16</f>
        <v>77279.929999999993</v>
      </c>
      <c r="O16" s="20"/>
      <c r="P16" s="20"/>
      <c r="Q16" s="6">
        <f>O16+P16</f>
        <v>0</v>
      </c>
      <c r="R16" s="20"/>
      <c r="S16" s="20"/>
      <c r="T16" s="6">
        <f>R16+S16</f>
        <v>0</v>
      </c>
      <c r="U16" s="20"/>
      <c r="V16" s="20"/>
      <c r="W16" s="6">
        <f>U16+V16</f>
        <v>0</v>
      </c>
      <c r="X16" s="20"/>
      <c r="Y16" s="22">
        <f t="shared" ref="Y16:Y21" si="3">N16+Q16+T16+W16</f>
        <v>77279.929999999993</v>
      </c>
    </row>
    <row r="17" spans="1:25" x14ac:dyDescent="0.25">
      <c r="A17" s="4" t="s">
        <v>10</v>
      </c>
      <c r="B17" s="52"/>
      <c r="C17" s="20"/>
      <c r="D17" s="6">
        <f>B17+C17</f>
        <v>0</v>
      </c>
      <c r="E17" s="20">
        <v>1276.1600000000001</v>
      </c>
      <c r="F17" s="20"/>
      <c r="G17" s="6">
        <f>E17+F17</f>
        <v>1276.1600000000001</v>
      </c>
      <c r="H17" s="52"/>
      <c r="I17" s="20"/>
      <c r="J17" s="6">
        <f>H17+I17</f>
        <v>0</v>
      </c>
      <c r="K17" s="20"/>
      <c r="L17" s="20"/>
      <c r="M17" s="6">
        <f>K17+L17</f>
        <v>0</v>
      </c>
      <c r="N17" s="6">
        <f t="shared" si="2"/>
        <v>1276.1600000000001</v>
      </c>
      <c r="O17" s="20"/>
      <c r="P17" s="20"/>
      <c r="Q17" s="6">
        <f>O17+P17</f>
        <v>0</v>
      </c>
      <c r="R17" s="20"/>
      <c r="S17" s="20"/>
      <c r="T17" s="6">
        <f>R17+S17</f>
        <v>0</v>
      </c>
      <c r="U17" s="20"/>
      <c r="V17" s="20"/>
      <c r="W17" s="6">
        <f>U17+V17</f>
        <v>0</v>
      </c>
      <c r="X17" s="20"/>
      <c r="Y17" s="22">
        <f t="shared" si="3"/>
        <v>1276.1600000000001</v>
      </c>
    </row>
    <row r="18" spans="1:25" x14ac:dyDescent="0.25">
      <c r="A18" s="4" t="s">
        <v>190</v>
      </c>
      <c r="B18" s="52"/>
      <c r="C18" s="20"/>
      <c r="D18" s="6">
        <f>B18+C18</f>
        <v>0</v>
      </c>
      <c r="E18" s="20"/>
      <c r="F18" s="20"/>
      <c r="G18" s="6">
        <f>E18+F18</f>
        <v>0</v>
      </c>
      <c r="H18" s="52"/>
      <c r="I18" s="20"/>
      <c r="J18" s="6">
        <f>H18+I18</f>
        <v>0</v>
      </c>
      <c r="K18" s="20"/>
      <c r="L18" s="20"/>
      <c r="M18" s="6">
        <f>K18+L18</f>
        <v>0</v>
      </c>
      <c r="N18" s="6">
        <f t="shared" si="2"/>
        <v>0</v>
      </c>
      <c r="O18" s="20"/>
      <c r="P18" s="20"/>
      <c r="Q18" s="6">
        <f>O18+P18</f>
        <v>0</v>
      </c>
      <c r="R18" s="20"/>
      <c r="S18" s="20"/>
      <c r="T18" s="6">
        <f>R18+S18</f>
        <v>0</v>
      </c>
      <c r="U18" s="20"/>
      <c r="V18" s="20"/>
      <c r="W18" s="6">
        <f>U18+V18</f>
        <v>0</v>
      </c>
      <c r="X18" s="20"/>
      <c r="Y18" s="22">
        <f t="shared" si="3"/>
        <v>0</v>
      </c>
    </row>
    <row r="19" spans="1:25" x14ac:dyDescent="0.25">
      <c r="A19" s="4" t="s">
        <v>11</v>
      </c>
      <c r="B19" s="52"/>
      <c r="C19" s="20"/>
      <c r="D19" s="6">
        <f>B19+C19</f>
        <v>0</v>
      </c>
      <c r="E19" s="20"/>
      <c r="F19" s="20"/>
      <c r="G19" s="6">
        <f>E19+F19</f>
        <v>0</v>
      </c>
      <c r="H19" s="52"/>
      <c r="I19" s="20"/>
      <c r="J19" s="6">
        <f>H19+I19</f>
        <v>0</v>
      </c>
      <c r="K19" s="20"/>
      <c r="L19" s="20"/>
      <c r="M19" s="6">
        <f>K19+L19</f>
        <v>0</v>
      </c>
      <c r="N19" s="6">
        <f t="shared" si="2"/>
        <v>0</v>
      </c>
      <c r="O19" s="20"/>
      <c r="P19" s="20"/>
      <c r="Q19" s="6">
        <f>O19+P19</f>
        <v>0</v>
      </c>
      <c r="R19" s="20"/>
      <c r="S19" s="20"/>
      <c r="T19" s="6">
        <f>R19+S19</f>
        <v>0</v>
      </c>
      <c r="U19" s="20"/>
      <c r="V19" s="20"/>
      <c r="W19" s="6">
        <f>U19+V19</f>
        <v>0</v>
      </c>
      <c r="X19" s="20"/>
      <c r="Y19" s="22">
        <f t="shared" si="3"/>
        <v>0</v>
      </c>
    </row>
    <row r="20" spans="1:25" x14ac:dyDescent="0.25">
      <c r="A20" s="4" t="s">
        <v>12</v>
      </c>
      <c r="B20" s="52"/>
      <c r="C20" s="20"/>
      <c r="D20" s="6">
        <f>B20+C20</f>
        <v>0</v>
      </c>
      <c r="E20" s="20"/>
      <c r="F20" s="20"/>
      <c r="G20" s="6">
        <f>E20+F20</f>
        <v>0</v>
      </c>
      <c r="H20" s="52"/>
      <c r="I20" s="20"/>
      <c r="J20" s="6">
        <f>H20+I20</f>
        <v>0</v>
      </c>
      <c r="K20" s="20"/>
      <c r="L20" s="20"/>
      <c r="M20" s="6">
        <f>K20+L20</f>
        <v>0</v>
      </c>
      <c r="N20" s="6">
        <f t="shared" si="2"/>
        <v>0</v>
      </c>
      <c r="O20" s="20"/>
      <c r="P20" s="20"/>
      <c r="Q20" s="6">
        <f>O20+P20</f>
        <v>0</v>
      </c>
      <c r="R20" s="20"/>
      <c r="S20" s="20"/>
      <c r="T20" s="6">
        <f>R20+S20</f>
        <v>0</v>
      </c>
      <c r="U20" s="20"/>
      <c r="V20" s="20"/>
      <c r="W20" s="6">
        <f>U20+V20</f>
        <v>0</v>
      </c>
      <c r="X20" s="20"/>
      <c r="Y20" s="22">
        <f t="shared" si="3"/>
        <v>0</v>
      </c>
    </row>
    <row r="21" spans="1:25" x14ac:dyDescent="0.25">
      <c r="A21" s="2" t="s">
        <v>13</v>
      </c>
      <c r="B21" s="48">
        <f>SUM(B16:B20)</f>
        <v>0</v>
      </c>
      <c r="C21" s="6">
        <f>SUM(C16:C20)</f>
        <v>0</v>
      </c>
      <c r="D21" s="6">
        <f>SUM(D16:D20)</f>
        <v>0</v>
      </c>
      <c r="E21" s="6">
        <f t="shared" ref="E21:U21" si="4">SUM(E16:E20)</f>
        <v>78556.09</v>
      </c>
      <c r="F21" s="6">
        <f>SUM(F16:F20)</f>
        <v>0</v>
      </c>
      <c r="G21" s="6">
        <f>SUM(G16:G20)</f>
        <v>78556.09</v>
      </c>
      <c r="H21" s="48">
        <f t="shared" si="4"/>
        <v>0</v>
      </c>
      <c r="I21" s="6">
        <f t="shared" si="4"/>
        <v>0</v>
      </c>
      <c r="J21" s="6">
        <f>SUM(J16:J20)</f>
        <v>0</v>
      </c>
      <c r="K21" s="6">
        <f t="shared" si="4"/>
        <v>0</v>
      </c>
      <c r="L21" s="6">
        <f t="shared" si="4"/>
        <v>0</v>
      </c>
      <c r="M21" s="6">
        <f>SUM(M16:M20)</f>
        <v>0</v>
      </c>
      <c r="N21" s="6">
        <f t="shared" si="2"/>
        <v>78556.09</v>
      </c>
      <c r="O21" s="6">
        <f t="shared" si="4"/>
        <v>0</v>
      </c>
      <c r="P21" s="6">
        <f>SUM(P16:P20)</f>
        <v>0</v>
      </c>
      <c r="Q21" s="6">
        <f>SUM(Q16:Q20)</f>
        <v>0</v>
      </c>
      <c r="R21" s="6">
        <f t="shared" si="4"/>
        <v>0</v>
      </c>
      <c r="S21" s="6">
        <f t="shared" si="4"/>
        <v>0</v>
      </c>
      <c r="T21" s="6">
        <f>SUM(T16:T20)</f>
        <v>0</v>
      </c>
      <c r="U21" s="6">
        <f t="shared" si="4"/>
        <v>0</v>
      </c>
      <c r="V21" s="6">
        <f>SUM(V16:V20)</f>
        <v>0</v>
      </c>
      <c r="W21" s="6">
        <f>SUM(W16:W20)</f>
        <v>0</v>
      </c>
      <c r="X21" s="22">
        <f>SUM(X16:X20)</f>
        <v>0</v>
      </c>
      <c r="Y21" s="22">
        <f t="shared" si="3"/>
        <v>78556.09</v>
      </c>
    </row>
    <row r="22" spans="1:25" x14ac:dyDescent="0.25">
      <c r="X22" s="22"/>
      <c r="Y22" s="22"/>
    </row>
    <row r="23" spans="1:25" x14ac:dyDescent="0.25">
      <c r="A23" s="3" t="s">
        <v>14</v>
      </c>
      <c r="X23" s="22"/>
      <c r="Y23" s="22"/>
    </row>
    <row r="24" spans="1:25" x14ac:dyDescent="0.25">
      <c r="A24" s="91" t="s">
        <v>371</v>
      </c>
      <c r="B24" s="52"/>
      <c r="C24" s="20"/>
      <c r="D24" s="6">
        <f>B24+C24</f>
        <v>0</v>
      </c>
      <c r="E24" s="88"/>
      <c r="F24" s="88"/>
      <c r="G24" s="6">
        <f>E24+F24</f>
        <v>0</v>
      </c>
      <c r="H24" s="88"/>
      <c r="I24" s="88"/>
      <c r="J24" s="6">
        <f>H24+I24</f>
        <v>0</v>
      </c>
      <c r="K24" s="88"/>
      <c r="L24" s="88"/>
      <c r="M24" s="6">
        <f>K24+L24</f>
        <v>0</v>
      </c>
      <c r="N24" s="6">
        <f>D24+G24+J24+M24</f>
        <v>0</v>
      </c>
      <c r="O24" s="88"/>
      <c r="P24" s="88"/>
      <c r="Q24" s="6">
        <f>O24+P24</f>
        <v>0</v>
      </c>
      <c r="R24" s="88"/>
      <c r="S24" s="88"/>
      <c r="T24" s="6">
        <f>R24+S24</f>
        <v>0</v>
      </c>
      <c r="U24" s="88"/>
      <c r="V24" s="88"/>
      <c r="W24" s="6">
        <f>U24+V24</f>
        <v>0</v>
      </c>
      <c r="X24" s="88"/>
      <c r="Y24" s="22">
        <f t="shared" ref="Y24:Y44" si="5">N24+Q24+T24+W24</f>
        <v>0</v>
      </c>
    </row>
    <row r="25" spans="1:25" x14ac:dyDescent="0.25">
      <c r="A25" s="90" t="s">
        <v>370</v>
      </c>
      <c r="B25" s="52"/>
      <c r="C25" s="20"/>
      <c r="D25" s="6">
        <f t="shared" ref="D25:D40" si="6">B25+C25</f>
        <v>0</v>
      </c>
      <c r="E25" s="88"/>
      <c r="F25" s="88"/>
      <c r="G25" s="6">
        <f t="shared" ref="G25:G40" si="7">E25+F25</f>
        <v>0</v>
      </c>
      <c r="H25" s="88"/>
      <c r="I25" s="88"/>
      <c r="J25" s="6">
        <f t="shared" ref="J25:J42" si="8">H25+I25</f>
        <v>0</v>
      </c>
      <c r="K25" s="88"/>
      <c r="L25" s="88"/>
      <c r="M25" s="6">
        <f t="shared" ref="M25:M42" si="9">K25+L25</f>
        <v>0</v>
      </c>
      <c r="N25" s="6">
        <f t="shared" ref="N25:N42" si="10">D25+G25+J25+M25</f>
        <v>0</v>
      </c>
      <c r="O25" s="88"/>
      <c r="P25" s="88"/>
      <c r="Q25" s="6">
        <f t="shared" ref="Q25:Q42" si="11">O25+P25</f>
        <v>0</v>
      </c>
      <c r="R25" s="88"/>
      <c r="S25" s="88"/>
      <c r="T25" s="6">
        <f t="shared" ref="T25:T42" si="12">R25+S25</f>
        <v>0</v>
      </c>
      <c r="U25" s="88"/>
      <c r="V25" s="88"/>
      <c r="W25" s="6">
        <f t="shared" ref="W25:W42" si="13">U25+V25</f>
        <v>0</v>
      </c>
      <c r="X25" s="88"/>
      <c r="Y25" s="22">
        <f t="shared" si="5"/>
        <v>0</v>
      </c>
    </row>
    <row r="26" spans="1:25" x14ac:dyDescent="0.25">
      <c r="A26" s="90" t="s">
        <v>31</v>
      </c>
      <c r="B26" s="52"/>
      <c r="C26" s="20"/>
      <c r="D26" s="6">
        <f t="shared" si="6"/>
        <v>0</v>
      </c>
      <c r="E26" s="88"/>
      <c r="F26" s="88"/>
      <c r="G26" s="6">
        <f t="shared" si="7"/>
        <v>0</v>
      </c>
      <c r="H26" s="88"/>
      <c r="I26" s="88"/>
      <c r="J26" s="6">
        <f t="shared" si="8"/>
        <v>0</v>
      </c>
      <c r="K26" s="88"/>
      <c r="L26" s="88"/>
      <c r="M26" s="6">
        <f t="shared" si="9"/>
        <v>0</v>
      </c>
      <c r="N26" s="6">
        <f t="shared" si="10"/>
        <v>0</v>
      </c>
      <c r="O26" s="88"/>
      <c r="P26" s="88"/>
      <c r="Q26" s="6">
        <f t="shared" si="11"/>
        <v>0</v>
      </c>
      <c r="R26" s="88"/>
      <c r="S26" s="88"/>
      <c r="T26" s="6">
        <f t="shared" si="12"/>
        <v>0</v>
      </c>
      <c r="U26" s="88"/>
      <c r="V26" s="88"/>
      <c r="W26" s="6">
        <f t="shared" si="13"/>
        <v>0</v>
      </c>
      <c r="X26" s="88"/>
      <c r="Y26" s="22">
        <f t="shared" si="5"/>
        <v>0</v>
      </c>
    </row>
    <row r="27" spans="1:25" x14ac:dyDescent="0.25">
      <c r="A27" s="90" t="s">
        <v>334</v>
      </c>
      <c r="B27" s="52"/>
      <c r="C27" s="20"/>
      <c r="D27" s="6">
        <f t="shared" si="6"/>
        <v>0</v>
      </c>
      <c r="E27" s="88"/>
      <c r="F27" s="88"/>
      <c r="G27" s="6">
        <f t="shared" si="7"/>
        <v>0</v>
      </c>
      <c r="H27" s="88"/>
      <c r="I27" s="88"/>
      <c r="J27" s="6">
        <f t="shared" si="8"/>
        <v>0</v>
      </c>
      <c r="K27" s="88"/>
      <c r="L27" s="88"/>
      <c r="M27" s="6">
        <f t="shared" si="9"/>
        <v>0</v>
      </c>
      <c r="N27" s="6">
        <f t="shared" si="10"/>
        <v>0</v>
      </c>
      <c r="O27" s="88"/>
      <c r="P27" s="88"/>
      <c r="Q27" s="6">
        <f t="shared" si="11"/>
        <v>0</v>
      </c>
      <c r="R27" s="88"/>
      <c r="S27" s="88"/>
      <c r="T27" s="6">
        <f t="shared" si="12"/>
        <v>0</v>
      </c>
      <c r="U27" s="88"/>
      <c r="V27" s="88"/>
      <c r="W27" s="6">
        <f t="shared" si="13"/>
        <v>0</v>
      </c>
      <c r="X27" s="88"/>
      <c r="Y27" s="22">
        <f t="shared" si="5"/>
        <v>0</v>
      </c>
    </row>
    <row r="28" spans="1:25" x14ac:dyDescent="0.25">
      <c r="A28" s="90" t="s">
        <v>335</v>
      </c>
      <c r="B28" s="52"/>
      <c r="C28" s="20"/>
      <c r="D28" s="6">
        <f t="shared" si="6"/>
        <v>0</v>
      </c>
      <c r="E28" s="88"/>
      <c r="F28" s="88"/>
      <c r="G28" s="6">
        <f t="shared" si="7"/>
        <v>0</v>
      </c>
      <c r="H28" s="88"/>
      <c r="I28" s="88"/>
      <c r="J28" s="6">
        <f t="shared" si="8"/>
        <v>0</v>
      </c>
      <c r="K28" s="88"/>
      <c r="L28" s="88"/>
      <c r="M28" s="6">
        <f t="shared" si="9"/>
        <v>0</v>
      </c>
      <c r="N28" s="6">
        <f t="shared" si="10"/>
        <v>0</v>
      </c>
      <c r="O28" s="88"/>
      <c r="P28" s="88"/>
      <c r="Q28" s="6">
        <f t="shared" si="11"/>
        <v>0</v>
      </c>
      <c r="R28" s="88"/>
      <c r="S28" s="88"/>
      <c r="T28" s="6">
        <f t="shared" si="12"/>
        <v>0</v>
      </c>
      <c r="U28" s="88"/>
      <c r="V28" s="88"/>
      <c r="W28" s="6">
        <f t="shared" si="13"/>
        <v>0</v>
      </c>
      <c r="X28" s="88"/>
      <c r="Y28" s="22">
        <f t="shared" si="5"/>
        <v>0</v>
      </c>
    </row>
    <row r="29" spans="1:25" x14ac:dyDescent="0.25">
      <c r="A29" s="90" t="s">
        <v>336</v>
      </c>
      <c r="B29" s="52"/>
      <c r="C29" s="20"/>
      <c r="D29" s="6">
        <f t="shared" si="6"/>
        <v>0</v>
      </c>
      <c r="E29" s="88"/>
      <c r="F29" s="88"/>
      <c r="G29" s="6">
        <f t="shared" si="7"/>
        <v>0</v>
      </c>
      <c r="H29" s="88"/>
      <c r="I29" s="88"/>
      <c r="J29" s="6">
        <f t="shared" si="8"/>
        <v>0</v>
      </c>
      <c r="K29" s="88"/>
      <c r="L29" s="88"/>
      <c r="M29" s="6">
        <f t="shared" si="9"/>
        <v>0</v>
      </c>
      <c r="N29" s="6">
        <f t="shared" si="10"/>
        <v>0</v>
      </c>
      <c r="O29" s="88"/>
      <c r="P29" s="88"/>
      <c r="Q29" s="6">
        <f t="shared" si="11"/>
        <v>0</v>
      </c>
      <c r="R29" s="88"/>
      <c r="S29" s="88"/>
      <c r="T29" s="6">
        <f t="shared" si="12"/>
        <v>0</v>
      </c>
      <c r="U29" s="88"/>
      <c r="V29" s="88"/>
      <c r="W29" s="6">
        <f t="shared" si="13"/>
        <v>0</v>
      </c>
      <c r="X29" s="88"/>
      <c r="Y29" s="22">
        <f t="shared" si="5"/>
        <v>0</v>
      </c>
    </row>
    <row r="30" spans="1:25" x14ac:dyDescent="0.25">
      <c r="A30" s="90" t="s">
        <v>337</v>
      </c>
      <c r="B30" s="52"/>
      <c r="C30" s="20"/>
      <c r="D30" s="6">
        <f t="shared" si="6"/>
        <v>0</v>
      </c>
      <c r="E30" s="88"/>
      <c r="F30" s="88"/>
      <c r="G30" s="6">
        <f t="shared" si="7"/>
        <v>0</v>
      </c>
      <c r="H30" s="88"/>
      <c r="I30" s="88"/>
      <c r="J30" s="6">
        <f t="shared" si="8"/>
        <v>0</v>
      </c>
      <c r="K30" s="88"/>
      <c r="L30" s="88"/>
      <c r="M30" s="6">
        <f t="shared" si="9"/>
        <v>0</v>
      </c>
      <c r="N30" s="6">
        <f t="shared" si="10"/>
        <v>0</v>
      </c>
      <c r="O30" s="88"/>
      <c r="P30" s="88"/>
      <c r="Q30" s="6">
        <f t="shared" si="11"/>
        <v>0</v>
      </c>
      <c r="R30" s="88"/>
      <c r="S30" s="88"/>
      <c r="T30" s="6">
        <f t="shared" si="12"/>
        <v>0</v>
      </c>
      <c r="U30" s="88"/>
      <c r="V30" s="88"/>
      <c r="W30" s="6">
        <f t="shared" si="13"/>
        <v>0</v>
      </c>
      <c r="X30" s="88"/>
      <c r="Y30" s="22">
        <f t="shared" si="5"/>
        <v>0</v>
      </c>
    </row>
    <row r="31" spans="1:25" x14ac:dyDescent="0.25">
      <c r="A31" s="90" t="s">
        <v>338</v>
      </c>
      <c r="B31" s="52"/>
      <c r="C31" s="20"/>
      <c r="D31" s="6">
        <f t="shared" si="6"/>
        <v>0</v>
      </c>
      <c r="E31" s="88"/>
      <c r="F31" s="88"/>
      <c r="G31" s="6">
        <f t="shared" si="7"/>
        <v>0</v>
      </c>
      <c r="H31" s="88"/>
      <c r="I31" s="88"/>
      <c r="J31" s="6">
        <f t="shared" si="8"/>
        <v>0</v>
      </c>
      <c r="K31" s="88"/>
      <c r="L31" s="88"/>
      <c r="M31" s="6">
        <f t="shared" si="9"/>
        <v>0</v>
      </c>
      <c r="N31" s="6">
        <f t="shared" si="10"/>
        <v>0</v>
      </c>
      <c r="O31" s="88"/>
      <c r="P31" s="88"/>
      <c r="Q31" s="6">
        <f t="shared" si="11"/>
        <v>0</v>
      </c>
      <c r="R31" s="88"/>
      <c r="S31" s="88"/>
      <c r="T31" s="6">
        <f t="shared" si="12"/>
        <v>0</v>
      </c>
      <c r="U31" s="88"/>
      <c r="V31" s="88"/>
      <c r="W31" s="6">
        <f t="shared" si="13"/>
        <v>0</v>
      </c>
      <c r="X31" s="88"/>
      <c r="Y31" s="22">
        <f t="shared" si="5"/>
        <v>0</v>
      </c>
    </row>
    <row r="32" spans="1:25" x14ac:dyDescent="0.25">
      <c r="A32" s="90" t="s">
        <v>363</v>
      </c>
      <c r="B32" s="52"/>
      <c r="C32" s="20"/>
      <c r="D32" s="6">
        <f t="shared" si="6"/>
        <v>0</v>
      </c>
      <c r="E32" s="88"/>
      <c r="F32" s="88"/>
      <c r="G32" s="6">
        <f t="shared" si="7"/>
        <v>0</v>
      </c>
      <c r="H32" s="88"/>
      <c r="I32" s="88"/>
      <c r="J32" s="6">
        <f t="shared" si="8"/>
        <v>0</v>
      </c>
      <c r="K32" s="88"/>
      <c r="L32" s="88"/>
      <c r="M32" s="6">
        <f t="shared" si="9"/>
        <v>0</v>
      </c>
      <c r="N32" s="6">
        <f t="shared" si="10"/>
        <v>0</v>
      </c>
      <c r="O32" s="88"/>
      <c r="P32" s="88"/>
      <c r="Q32" s="6">
        <f t="shared" si="11"/>
        <v>0</v>
      </c>
      <c r="R32" s="88"/>
      <c r="S32" s="88"/>
      <c r="T32" s="6">
        <f t="shared" si="12"/>
        <v>0</v>
      </c>
      <c r="U32" s="88"/>
      <c r="V32" s="88"/>
      <c r="W32" s="6">
        <f t="shared" si="13"/>
        <v>0</v>
      </c>
      <c r="X32" s="88"/>
      <c r="Y32" s="22">
        <f t="shared" si="5"/>
        <v>0</v>
      </c>
    </row>
    <row r="33" spans="1:25" x14ac:dyDescent="0.25">
      <c r="A33" s="90" t="s">
        <v>340</v>
      </c>
      <c r="B33" s="52"/>
      <c r="C33" s="20"/>
      <c r="D33" s="6">
        <f t="shared" si="6"/>
        <v>0</v>
      </c>
      <c r="E33" s="88"/>
      <c r="F33" s="88"/>
      <c r="G33" s="6">
        <f t="shared" si="7"/>
        <v>0</v>
      </c>
      <c r="H33" s="88"/>
      <c r="I33" s="88"/>
      <c r="J33" s="6">
        <f t="shared" si="8"/>
        <v>0</v>
      </c>
      <c r="K33" s="88"/>
      <c r="L33" s="88"/>
      <c r="M33" s="6">
        <f t="shared" si="9"/>
        <v>0</v>
      </c>
      <c r="N33" s="6">
        <f t="shared" si="10"/>
        <v>0</v>
      </c>
      <c r="O33" s="88"/>
      <c r="P33" s="88"/>
      <c r="Q33" s="6">
        <f t="shared" si="11"/>
        <v>0</v>
      </c>
      <c r="R33" s="88"/>
      <c r="S33" s="88"/>
      <c r="T33" s="6">
        <f t="shared" si="12"/>
        <v>0</v>
      </c>
      <c r="U33" s="88"/>
      <c r="V33" s="88"/>
      <c r="W33" s="6">
        <f t="shared" si="13"/>
        <v>0</v>
      </c>
      <c r="X33" s="88"/>
      <c r="Y33" s="22">
        <f t="shared" si="5"/>
        <v>0</v>
      </c>
    </row>
    <row r="34" spans="1:25" x14ac:dyDescent="0.25">
      <c r="A34" s="90" t="s">
        <v>364</v>
      </c>
      <c r="B34" s="52"/>
      <c r="C34" s="20"/>
      <c r="D34" s="6">
        <f t="shared" si="6"/>
        <v>0</v>
      </c>
      <c r="E34" s="88"/>
      <c r="F34" s="88"/>
      <c r="G34" s="6">
        <f t="shared" si="7"/>
        <v>0</v>
      </c>
      <c r="H34" s="88"/>
      <c r="I34" s="88"/>
      <c r="J34" s="6">
        <f t="shared" si="8"/>
        <v>0</v>
      </c>
      <c r="K34" s="88"/>
      <c r="L34" s="88"/>
      <c r="M34" s="6">
        <f t="shared" si="9"/>
        <v>0</v>
      </c>
      <c r="N34" s="6">
        <f t="shared" si="10"/>
        <v>0</v>
      </c>
      <c r="O34" s="88"/>
      <c r="P34" s="88"/>
      <c r="Q34" s="6">
        <f t="shared" si="11"/>
        <v>0</v>
      </c>
      <c r="R34" s="88"/>
      <c r="S34" s="88"/>
      <c r="T34" s="6">
        <f t="shared" si="12"/>
        <v>0</v>
      </c>
      <c r="U34" s="88"/>
      <c r="V34" s="88"/>
      <c r="W34" s="6">
        <f t="shared" si="13"/>
        <v>0</v>
      </c>
      <c r="X34" s="88"/>
      <c r="Y34" s="22">
        <f t="shared" si="5"/>
        <v>0</v>
      </c>
    </row>
    <row r="35" spans="1:25" x14ac:dyDescent="0.25">
      <c r="A35" s="90" t="s">
        <v>365</v>
      </c>
      <c r="B35" s="52"/>
      <c r="C35" s="20"/>
      <c r="D35" s="6">
        <f t="shared" si="6"/>
        <v>0</v>
      </c>
      <c r="E35" s="88"/>
      <c r="F35" s="88"/>
      <c r="G35" s="6">
        <f t="shared" si="7"/>
        <v>0</v>
      </c>
      <c r="H35" s="88"/>
      <c r="I35" s="88"/>
      <c r="J35" s="6">
        <f t="shared" si="8"/>
        <v>0</v>
      </c>
      <c r="K35" s="88"/>
      <c r="L35" s="88"/>
      <c r="M35" s="6">
        <f t="shared" si="9"/>
        <v>0</v>
      </c>
      <c r="N35" s="6">
        <f t="shared" si="10"/>
        <v>0</v>
      </c>
      <c r="O35" s="88"/>
      <c r="P35" s="88"/>
      <c r="Q35" s="6">
        <f t="shared" si="11"/>
        <v>0</v>
      </c>
      <c r="R35" s="88"/>
      <c r="S35" s="88"/>
      <c r="T35" s="6">
        <f t="shared" si="12"/>
        <v>0</v>
      </c>
      <c r="U35" s="88"/>
      <c r="V35" s="88"/>
      <c r="W35" s="6">
        <f t="shared" si="13"/>
        <v>0</v>
      </c>
      <c r="X35" s="88"/>
      <c r="Y35" s="22">
        <f t="shared" si="5"/>
        <v>0</v>
      </c>
    </row>
    <row r="36" spans="1:25" x14ac:dyDescent="0.25">
      <c r="A36" s="91" t="s">
        <v>366</v>
      </c>
      <c r="B36" s="52"/>
      <c r="C36" s="20"/>
      <c r="D36" s="6">
        <f t="shared" si="6"/>
        <v>0</v>
      </c>
      <c r="E36" s="88"/>
      <c r="F36" s="88"/>
      <c r="G36" s="6">
        <f t="shared" si="7"/>
        <v>0</v>
      </c>
      <c r="H36" s="88"/>
      <c r="I36" s="88"/>
      <c r="J36" s="6">
        <f t="shared" si="8"/>
        <v>0</v>
      </c>
      <c r="K36" s="88"/>
      <c r="L36" s="88"/>
      <c r="M36" s="6">
        <f t="shared" si="9"/>
        <v>0</v>
      </c>
      <c r="N36" s="6">
        <f t="shared" si="10"/>
        <v>0</v>
      </c>
      <c r="O36" s="88"/>
      <c r="P36" s="88"/>
      <c r="Q36" s="6">
        <f t="shared" si="11"/>
        <v>0</v>
      </c>
      <c r="R36" s="88"/>
      <c r="S36" s="88"/>
      <c r="T36" s="6">
        <f t="shared" si="12"/>
        <v>0</v>
      </c>
      <c r="U36" s="88"/>
      <c r="V36" s="88"/>
      <c r="W36" s="6">
        <f t="shared" si="13"/>
        <v>0</v>
      </c>
      <c r="X36" s="88"/>
      <c r="Y36" s="22">
        <f t="shared" si="5"/>
        <v>0</v>
      </c>
    </row>
    <row r="37" spans="1:25" x14ac:dyDescent="0.25">
      <c r="A37" s="90" t="s">
        <v>372</v>
      </c>
      <c r="B37" s="52"/>
      <c r="C37" s="20"/>
      <c r="D37" s="6">
        <f t="shared" si="6"/>
        <v>0</v>
      </c>
      <c r="E37" s="88"/>
      <c r="F37" s="88"/>
      <c r="G37" s="6">
        <f t="shared" si="7"/>
        <v>0</v>
      </c>
      <c r="H37" s="88"/>
      <c r="I37" s="88"/>
      <c r="J37" s="6">
        <f t="shared" si="8"/>
        <v>0</v>
      </c>
      <c r="K37" s="88"/>
      <c r="L37" s="88"/>
      <c r="M37" s="6">
        <f t="shared" si="9"/>
        <v>0</v>
      </c>
      <c r="N37" s="6">
        <f t="shared" si="10"/>
        <v>0</v>
      </c>
      <c r="O37" s="88"/>
      <c r="P37" s="88"/>
      <c r="Q37" s="6">
        <f t="shared" si="11"/>
        <v>0</v>
      </c>
      <c r="R37" s="88"/>
      <c r="S37" s="88"/>
      <c r="T37" s="6">
        <f t="shared" si="12"/>
        <v>0</v>
      </c>
      <c r="U37" s="88"/>
      <c r="V37" s="88"/>
      <c r="W37" s="6">
        <f t="shared" si="13"/>
        <v>0</v>
      </c>
      <c r="X37" s="88"/>
      <c r="Y37" s="22">
        <f t="shared" si="5"/>
        <v>0</v>
      </c>
    </row>
    <row r="38" spans="1:25" x14ac:dyDescent="0.25">
      <c r="A38" s="90" t="s">
        <v>367</v>
      </c>
      <c r="B38" s="52"/>
      <c r="C38" s="20"/>
      <c r="D38" s="6">
        <f t="shared" si="6"/>
        <v>0</v>
      </c>
      <c r="E38" s="88"/>
      <c r="F38" s="88"/>
      <c r="G38" s="6">
        <f t="shared" si="7"/>
        <v>0</v>
      </c>
      <c r="H38" s="88"/>
      <c r="I38" s="88"/>
      <c r="J38" s="6">
        <f t="shared" si="8"/>
        <v>0</v>
      </c>
      <c r="K38" s="88"/>
      <c r="L38" s="88"/>
      <c r="M38" s="6">
        <f t="shared" si="9"/>
        <v>0</v>
      </c>
      <c r="N38" s="6">
        <f t="shared" si="10"/>
        <v>0</v>
      </c>
      <c r="O38" s="88"/>
      <c r="P38" s="88"/>
      <c r="Q38" s="6">
        <f t="shared" si="11"/>
        <v>0</v>
      </c>
      <c r="R38" s="88"/>
      <c r="S38" s="88"/>
      <c r="T38" s="6">
        <f t="shared" si="12"/>
        <v>0</v>
      </c>
      <c r="U38" s="88"/>
      <c r="V38" s="88"/>
      <c r="W38" s="6">
        <f t="shared" si="13"/>
        <v>0</v>
      </c>
      <c r="X38" s="88"/>
      <c r="Y38" s="22">
        <f t="shared" si="5"/>
        <v>0</v>
      </c>
    </row>
    <row r="39" spans="1:25" x14ac:dyDescent="0.25">
      <c r="A39" s="90" t="s">
        <v>368</v>
      </c>
      <c r="B39" s="52"/>
      <c r="C39" s="20"/>
      <c r="D39" s="6">
        <f t="shared" si="6"/>
        <v>0</v>
      </c>
      <c r="E39" s="88"/>
      <c r="F39" s="88"/>
      <c r="G39" s="6">
        <f t="shared" si="7"/>
        <v>0</v>
      </c>
      <c r="H39" s="88"/>
      <c r="I39" s="88"/>
      <c r="J39" s="6">
        <f t="shared" si="8"/>
        <v>0</v>
      </c>
      <c r="K39" s="88"/>
      <c r="L39" s="88"/>
      <c r="M39" s="6">
        <f t="shared" si="9"/>
        <v>0</v>
      </c>
      <c r="N39" s="6">
        <f t="shared" si="10"/>
        <v>0</v>
      </c>
      <c r="O39" s="88"/>
      <c r="P39" s="88"/>
      <c r="Q39" s="6">
        <f t="shared" si="11"/>
        <v>0</v>
      </c>
      <c r="R39" s="88"/>
      <c r="S39" s="88"/>
      <c r="T39" s="6">
        <f t="shared" si="12"/>
        <v>0</v>
      </c>
      <c r="U39" s="88"/>
      <c r="V39" s="88"/>
      <c r="W39" s="6">
        <f t="shared" si="13"/>
        <v>0</v>
      </c>
      <c r="X39" s="88"/>
      <c r="Y39" s="22">
        <f t="shared" si="5"/>
        <v>0</v>
      </c>
    </row>
    <row r="40" spans="1:25" x14ac:dyDescent="0.25">
      <c r="A40" s="90" t="s">
        <v>346</v>
      </c>
      <c r="B40" s="52"/>
      <c r="C40" s="20"/>
      <c r="D40" s="6">
        <f t="shared" si="6"/>
        <v>0</v>
      </c>
      <c r="E40" s="20">
        <v>-17491.12</v>
      </c>
      <c r="F40" s="20">
        <v>17491</v>
      </c>
      <c r="G40" s="6">
        <f t="shared" si="7"/>
        <v>-0.11999999999898137</v>
      </c>
      <c r="H40" s="52"/>
      <c r="I40" s="20"/>
      <c r="J40" s="6">
        <f t="shared" si="8"/>
        <v>0</v>
      </c>
      <c r="K40" s="20"/>
      <c r="L40" s="20"/>
      <c r="M40" s="6">
        <f t="shared" si="9"/>
        <v>0</v>
      </c>
      <c r="N40" s="6">
        <f t="shared" si="10"/>
        <v>-0.11999999999898137</v>
      </c>
      <c r="O40" s="20"/>
      <c r="P40" s="20"/>
      <c r="Q40" s="6">
        <f t="shared" si="11"/>
        <v>0</v>
      </c>
      <c r="R40" s="20"/>
      <c r="S40" s="20"/>
      <c r="T40" s="6">
        <f t="shared" si="12"/>
        <v>0</v>
      </c>
      <c r="U40" s="20"/>
      <c r="V40" s="20"/>
      <c r="W40" s="6">
        <f t="shared" si="13"/>
        <v>0</v>
      </c>
      <c r="X40" s="20"/>
      <c r="Y40" s="22">
        <f t="shared" si="5"/>
        <v>-0.11999999999898137</v>
      </c>
    </row>
    <row r="41" spans="1:25" x14ac:dyDescent="0.25">
      <c r="A41" s="91" t="s">
        <v>373</v>
      </c>
      <c r="B41" s="52"/>
      <c r="C41" s="20"/>
      <c r="D41" s="6">
        <f>B41+C41</f>
        <v>0</v>
      </c>
      <c r="E41" s="88"/>
      <c r="F41" s="88"/>
      <c r="G41" s="6">
        <f>E41+F41</f>
        <v>0</v>
      </c>
      <c r="H41" s="88"/>
      <c r="I41" s="88"/>
      <c r="J41" s="6">
        <f t="shared" si="8"/>
        <v>0</v>
      </c>
      <c r="K41" s="88"/>
      <c r="L41" s="88"/>
      <c r="M41" s="6">
        <f t="shared" si="9"/>
        <v>0</v>
      </c>
      <c r="N41" s="6">
        <f t="shared" si="10"/>
        <v>0</v>
      </c>
      <c r="O41" s="88"/>
      <c r="P41" s="88"/>
      <c r="Q41" s="6">
        <f t="shared" si="11"/>
        <v>0</v>
      </c>
      <c r="R41" s="88"/>
      <c r="S41" s="88"/>
      <c r="T41" s="6">
        <f t="shared" si="12"/>
        <v>0</v>
      </c>
      <c r="U41" s="88"/>
      <c r="V41" s="88"/>
      <c r="W41" s="6">
        <f t="shared" si="13"/>
        <v>0</v>
      </c>
      <c r="X41" s="88"/>
      <c r="Y41" s="22">
        <f t="shared" si="5"/>
        <v>0</v>
      </c>
    </row>
    <row r="42" spans="1:25" x14ac:dyDescent="0.25">
      <c r="A42" s="2" t="s">
        <v>18</v>
      </c>
      <c r="B42" s="48">
        <f>SUM(B24:B41)</f>
        <v>0</v>
      </c>
      <c r="C42" s="6">
        <f>SUM(C24:C41)</f>
        <v>0</v>
      </c>
      <c r="D42" s="6">
        <f>SUM(D24:D41)</f>
        <v>0</v>
      </c>
      <c r="E42" s="6">
        <f t="shared" ref="E42:S42" si="14">SUM(E24:E41)</f>
        <v>-17491.12</v>
      </c>
      <c r="F42" s="6">
        <f>SUM(F24:F41)</f>
        <v>17491</v>
      </c>
      <c r="G42" s="6">
        <f>SUM(G24:G41)</f>
        <v>-0.11999999999898137</v>
      </c>
      <c r="H42" s="48">
        <f t="shared" si="14"/>
        <v>0</v>
      </c>
      <c r="I42" s="6">
        <f t="shared" si="14"/>
        <v>0</v>
      </c>
      <c r="J42" s="6">
        <f t="shared" si="8"/>
        <v>0</v>
      </c>
      <c r="K42" s="6">
        <f t="shared" si="14"/>
        <v>0</v>
      </c>
      <c r="L42" s="6">
        <f t="shared" si="14"/>
        <v>0</v>
      </c>
      <c r="M42" s="6">
        <f t="shared" si="9"/>
        <v>0</v>
      </c>
      <c r="N42" s="6">
        <f t="shared" si="10"/>
        <v>-0.11999999999898137</v>
      </c>
      <c r="O42" s="6">
        <f t="shared" si="14"/>
        <v>0</v>
      </c>
      <c r="P42" s="6">
        <f t="shared" si="14"/>
        <v>0</v>
      </c>
      <c r="Q42" s="6">
        <f t="shared" si="11"/>
        <v>0</v>
      </c>
      <c r="R42" s="6">
        <f t="shared" si="14"/>
        <v>0</v>
      </c>
      <c r="S42" s="6">
        <f t="shared" si="14"/>
        <v>0</v>
      </c>
      <c r="T42" s="6">
        <f t="shared" si="12"/>
        <v>0</v>
      </c>
      <c r="U42" s="6">
        <f>SUM(U24:U41)</f>
        <v>0</v>
      </c>
      <c r="V42" s="6">
        <f>SUM(V24:V41)</f>
        <v>0</v>
      </c>
      <c r="W42" s="6">
        <f t="shared" si="13"/>
        <v>0</v>
      </c>
      <c r="X42" s="22">
        <f>SUM(X24:X41)</f>
        <v>0</v>
      </c>
      <c r="Y42" s="22">
        <f t="shared" si="5"/>
        <v>-0.11999999999898137</v>
      </c>
    </row>
    <row r="43" spans="1:25" x14ac:dyDescent="0.25">
      <c r="X43" s="22"/>
      <c r="Y43" s="22">
        <f t="shared" si="5"/>
        <v>0</v>
      </c>
    </row>
    <row r="44" spans="1:25" x14ac:dyDescent="0.25">
      <c r="A44" s="2" t="s">
        <v>19</v>
      </c>
      <c r="B44" s="48">
        <f t="shared" ref="B44:M44" si="15">B21+B42</f>
        <v>0</v>
      </c>
      <c r="C44" s="6">
        <f t="shared" si="15"/>
        <v>0</v>
      </c>
      <c r="D44" s="6">
        <f t="shared" si="15"/>
        <v>0</v>
      </c>
      <c r="E44" s="6">
        <f t="shared" si="15"/>
        <v>61064.97</v>
      </c>
      <c r="F44" s="6">
        <f t="shared" si="15"/>
        <v>17491</v>
      </c>
      <c r="G44" s="6">
        <f t="shared" si="15"/>
        <v>78555.97</v>
      </c>
      <c r="H44" s="48">
        <f t="shared" si="15"/>
        <v>0</v>
      </c>
      <c r="I44" s="6">
        <f t="shared" si="15"/>
        <v>0</v>
      </c>
      <c r="J44" s="6">
        <f t="shared" si="15"/>
        <v>0</v>
      </c>
      <c r="K44" s="6">
        <f t="shared" si="15"/>
        <v>0</v>
      </c>
      <c r="L44" s="6">
        <f t="shared" si="15"/>
        <v>0</v>
      </c>
      <c r="M44" s="6">
        <f t="shared" si="15"/>
        <v>0</v>
      </c>
      <c r="N44" s="6">
        <f>D44+G44+J44+M44</f>
        <v>78555.97</v>
      </c>
      <c r="O44" s="6">
        <f t="shared" ref="O44:X44" si="16">O21+O42</f>
        <v>0</v>
      </c>
      <c r="P44" s="6">
        <f t="shared" si="16"/>
        <v>0</v>
      </c>
      <c r="Q44" s="6">
        <f t="shared" si="16"/>
        <v>0</v>
      </c>
      <c r="R44" s="6">
        <f t="shared" si="16"/>
        <v>0</v>
      </c>
      <c r="S44" s="6">
        <f t="shared" si="16"/>
        <v>0</v>
      </c>
      <c r="T44" s="6">
        <f t="shared" si="16"/>
        <v>0</v>
      </c>
      <c r="U44" s="6">
        <f t="shared" si="16"/>
        <v>0</v>
      </c>
      <c r="V44" s="6">
        <f t="shared" si="16"/>
        <v>0</v>
      </c>
      <c r="W44" s="6">
        <f t="shared" si="16"/>
        <v>0</v>
      </c>
      <c r="X44" s="22">
        <f t="shared" si="16"/>
        <v>0</v>
      </c>
      <c r="Y44" s="22">
        <f t="shared" si="5"/>
        <v>78555.97</v>
      </c>
    </row>
    <row r="45" spans="1:25" x14ac:dyDescent="0.25">
      <c r="B45" s="59" t="str">
        <f>IF(B13=B44,"YES","NO")</f>
        <v>YES</v>
      </c>
      <c r="C45" s="59" t="str">
        <f t="shared" ref="C45:Y45" si="17">IF(C13=C44,"YES","NO")</f>
        <v>YES</v>
      </c>
      <c r="D45" s="59" t="str">
        <f t="shared" si="17"/>
        <v>YES</v>
      </c>
      <c r="E45" s="59" t="str">
        <f t="shared" si="17"/>
        <v>YES</v>
      </c>
      <c r="F45" s="59" t="str">
        <f t="shared" si="17"/>
        <v>YES</v>
      </c>
      <c r="G45" s="59" t="str">
        <f t="shared" si="17"/>
        <v>YES</v>
      </c>
      <c r="H45" s="59" t="str">
        <f t="shared" si="17"/>
        <v>YES</v>
      </c>
      <c r="I45" s="59" t="str">
        <f t="shared" si="17"/>
        <v>YES</v>
      </c>
      <c r="J45" s="59" t="str">
        <f t="shared" si="17"/>
        <v>YES</v>
      </c>
      <c r="K45" s="59" t="str">
        <f t="shared" si="17"/>
        <v>YES</v>
      </c>
      <c r="L45" s="59" t="str">
        <f t="shared" si="17"/>
        <v>YES</v>
      </c>
      <c r="M45" s="59" t="str">
        <f t="shared" si="17"/>
        <v>YES</v>
      </c>
      <c r="N45" s="59" t="str">
        <f t="shared" si="17"/>
        <v>YES</v>
      </c>
      <c r="O45" s="59" t="str">
        <f t="shared" si="17"/>
        <v>YES</v>
      </c>
      <c r="P45" s="59" t="str">
        <f t="shared" si="17"/>
        <v>YES</v>
      </c>
      <c r="Q45" s="59" t="str">
        <f t="shared" si="17"/>
        <v>YES</v>
      </c>
      <c r="R45" s="59" t="str">
        <f t="shared" si="17"/>
        <v>YES</v>
      </c>
      <c r="S45" s="59" t="str">
        <f t="shared" si="17"/>
        <v>YES</v>
      </c>
      <c r="T45" s="59" t="str">
        <f t="shared" si="17"/>
        <v>YES</v>
      </c>
      <c r="U45" s="59" t="str">
        <f t="shared" si="17"/>
        <v>YES</v>
      </c>
      <c r="V45" s="59" t="str">
        <f t="shared" si="17"/>
        <v>YES</v>
      </c>
      <c r="W45" s="59" t="str">
        <f t="shared" si="17"/>
        <v>YES</v>
      </c>
      <c r="X45" s="59" t="str">
        <f t="shared" si="17"/>
        <v>YES</v>
      </c>
      <c r="Y45" s="59" t="str">
        <f t="shared" si="17"/>
        <v>YES</v>
      </c>
    </row>
    <row r="46" spans="1:25" x14ac:dyDescent="0.25">
      <c r="A46" s="3" t="s">
        <v>20</v>
      </c>
      <c r="X46" s="22"/>
      <c r="Y46" s="22"/>
    </row>
    <row r="47" spans="1:25" x14ac:dyDescent="0.25">
      <c r="A47" s="4" t="s">
        <v>21</v>
      </c>
      <c r="B47" s="52"/>
      <c r="C47" s="20"/>
      <c r="D47" s="6">
        <f t="shared" ref="D47:D52" si="18">B47+C47</f>
        <v>0</v>
      </c>
      <c r="E47" s="20">
        <f>897371+314801</f>
        <v>1212172</v>
      </c>
      <c r="F47" s="20">
        <v>17491</v>
      </c>
      <c r="G47" s="6">
        <f>E47+F47</f>
        <v>1229663</v>
      </c>
      <c r="H47" s="52"/>
      <c r="I47" s="20"/>
      <c r="J47" s="6">
        <f t="shared" ref="J47:J52" si="19">H47+I47</f>
        <v>0</v>
      </c>
      <c r="K47" s="20"/>
      <c r="L47" s="20"/>
      <c r="M47" s="6">
        <f t="shared" ref="M47:M52" si="20">K47+L47</f>
        <v>0</v>
      </c>
      <c r="N47" s="6">
        <f t="shared" ref="N47:N52" si="21">D47+G47+J47+M47</f>
        <v>1229663</v>
      </c>
      <c r="O47" s="20"/>
      <c r="P47" s="20"/>
      <c r="Q47" s="6">
        <f>O47+P47</f>
        <v>0</v>
      </c>
      <c r="R47" s="20"/>
      <c r="S47" s="20"/>
      <c r="T47" s="6">
        <f>R47+S47</f>
        <v>0</v>
      </c>
      <c r="U47" s="20"/>
      <c r="V47" s="20"/>
      <c r="W47" s="6">
        <f>U47+V47</f>
        <v>0</v>
      </c>
      <c r="X47" s="20"/>
      <c r="Y47" s="22">
        <f t="shared" ref="Y47:Y52" si="22">N47+Q47+T47+W47</f>
        <v>1229663</v>
      </c>
    </row>
    <row r="48" spans="1:25" x14ac:dyDescent="0.25">
      <c r="A48" s="4" t="s">
        <v>22</v>
      </c>
      <c r="B48" s="52"/>
      <c r="C48" s="20"/>
      <c r="D48" s="6">
        <f t="shared" si="18"/>
        <v>0</v>
      </c>
      <c r="E48" s="20"/>
      <c r="F48" s="20"/>
      <c r="G48" s="6">
        <f>E48+F48</f>
        <v>0</v>
      </c>
      <c r="H48" s="52"/>
      <c r="I48" s="20"/>
      <c r="J48" s="6">
        <f t="shared" si="19"/>
        <v>0</v>
      </c>
      <c r="K48" s="20"/>
      <c r="L48" s="20"/>
      <c r="M48" s="6">
        <f t="shared" si="20"/>
        <v>0</v>
      </c>
      <c r="N48" s="6">
        <f t="shared" si="21"/>
        <v>0</v>
      </c>
      <c r="O48" s="20"/>
      <c r="P48" s="20"/>
      <c r="Q48" s="6">
        <f>O48+P48</f>
        <v>0</v>
      </c>
      <c r="R48" s="20"/>
      <c r="S48" s="20"/>
      <c r="T48" s="6">
        <f>R48+S48</f>
        <v>0</v>
      </c>
      <c r="U48" s="20"/>
      <c r="V48" s="20"/>
      <c r="W48" s="6">
        <f>U48+V48</f>
        <v>0</v>
      </c>
      <c r="X48" s="20"/>
      <c r="Y48" s="22">
        <f t="shared" si="22"/>
        <v>0</v>
      </c>
    </row>
    <row r="49" spans="1:25" x14ac:dyDescent="0.25">
      <c r="A49" s="4" t="s">
        <v>202</v>
      </c>
      <c r="B49" s="52"/>
      <c r="C49" s="20"/>
      <c r="D49" s="6">
        <f t="shared" si="18"/>
        <v>0</v>
      </c>
      <c r="E49" s="20"/>
      <c r="F49" s="20"/>
      <c r="G49" s="6">
        <f>E49+F49</f>
        <v>0</v>
      </c>
      <c r="H49" s="52"/>
      <c r="I49" s="20"/>
      <c r="J49" s="6">
        <f t="shared" si="19"/>
        <v>0</v>
      </c>
      <c r="K49" s="20"/>
      <c r="L49" s="20"/>
      <c r="M49" s="6">
        <f t="shared" si="20"/>
        <v>0</v>
      </c>
      <c r="N49" s="6">
        <f t="shared" si="21"/>
        <v>0</v>
      </c>
      <c r="O49" s="20"/>
      <c r="P49" s="20"/>
      <c r="Q49" s="6">
        <f>O49+P49</f>
        <v>0</v>
      </c>
      <c r="R49" s="20"/>
      <c r="S49" s="20"/>
      <c r="T49" s="6">
        <f>R49+S49</f>
        <v>0</v>
      </c>
      <c r="U49" s="20"/>
      <c r="V49" s="20"/>
      <c r="W49" s="6">
        <f>U49+V49</f>
        <v>0</v>
      </c>
      <c r="X49" s="20"/>
      <c r="Y49" s="22">
        <f t="shared" si="22"/>
        <v>0</v>
      </c>
    </row>
    <row r="50" spans="1:25" x14ac:dyDescent="0.25">
      <c r="A50" s="4" t="s">
        <v>23</v>
      </c>
      <c r="B50" s="52"/>
      <c r="C50" s="20"/>
      <c r="D50" s="6">
        <f t="shared" si="18"/>
        <v>0</v>
      </c>
      <c r="E50" s="20">
        <v>47.58</v>
      </c>
      <c r="F50" s="20"/>
      <c r="G50" s="6">
        <f>E50+F50</f>
        <v>47.58</v>
      </c>
      <c r="H50" s="52"/>
      <c r="I50" s="20"/>
      <c r="J50" s="6">
        <f t="shared" si="19"/>
        <v>0</v>
      </c>
      <c r="K50" s="20"/>
      <c r="L50" s="20"/>
      <c r="M50" s="6">
        <f t="shared" si="20"/>
        <v>0</v>
      </c>
      <c r="N50" s="6">
        <f t="shared" si="21"/>
        <v>47.58</v>
      </c>
      <c r="O50" s="20"/>
      <c r="P50" s="20"/>
      <c r="Q50" s="6">
        <f>O50+P50</f>
        <v>0</v>
      </c>
      <c r="R50" s="20"/>
      <c r="S50" s="20"/>
      <c r="T50" s="6">
        <f>R50+S50</f>
        <v>0</v>
      </c>
      <c r="U50" s="20"/>
      <c r="V50" s="20"/>
      <c r="W50" s="6">
        <f>U50+V50</f>
        <v>0</v>
      </c>
      <c r="X50" s="20"/>
      <c r="Y50" s="22">
        <f t="shared" si="22"/>
        <v>47.58</v>
      </c>
    </row>
    <row r="51" spans="1:25" x14ac:dyDescent="0.25">
      <c r="A51" s="4" t="s">
        <v>24</v>
      </c>
      <c r="B51" s="52"/>
      <c r="C51" s="20"/>
      <c r="D51" s="6">
        <f t="shared" si="18"/>
        <v>0</v>
      </c>
      <c r="E51" s="20"/>
      <c r="F51" s="20"/>
      <c r="G51" s="6">
        <f>E51+F51</f>
        <v>0</v>
      </c>
      <c r="H51" s="52"/>
      <c r="I51" s="20"/>
      <c r="J51" s="6">
        <f t="shared" si="19"/>
        <v>0</v>
      </c>
      <c r="K51" s="20"/>
      <c r="L51" s="20"/>
      <c r="M51" s="6">
        <f t="shared" si="20"/>
        <v>0</v>
      </c>
      <c r="N51" s="6">
        <f t="shared" si="21"/>
        <v>0</v>
      </c>
      <c r="O51" s="20"/>
      <c r="P51" s="20"/>
      <c r="Q51" s="6">
        <f>O51+P51</f>
        <v>0</v>
      </c>
      <c r="R51" s="20"/>
      <c r="S51" s="20"/>
      <c r="T51" s="6">
        <f>R51+S51</f>
        <v>0</v>
      </c>
      <c r="U51" s="20"/>
      <c r="V51" s="20"/>
      <c r="W51" s="6">
        <f>U51+V51</f>
        <v>0</v>
      </c>
      <c r="X51" s="20"/>
      <c r="Y51" s="22">
        <f t="shared" si="22"/>
        <v>0</v>
      </c>
    </row>
    <row r="52" spans="1:25" x14ac:dyDescent="0.25">
      <c r="A52" s="2" t="s">
        <v>25</v>
      </c>
      <c r="B52" s="48">
        <f>SUM(B47:B51)</f>
        <v>0</v>
      </c>
      <c r="C52" s="6">
        <f>SUM(C47:C51)</f>
        <v>0</v>
      </c>
      <c r="D52" s="6">
        <f t="shared" si="18"/>
        <v>0</v>
      </c>
      <c r="E52" s="6">
        <f t="shared" ref="E52:U52" si="23">SUM(E47:E51)</f>
        <v>1212219.58</v>
      </c>
      <c r="F52" s="6">
        <f>SUM(F47:F51)</f>
        <v>17491</v>
      </c>
      <c r="G52" s="6">
        <f>SUM(G47:G51)</f>
        <v>1229710.58</v>
      </c>
      <c r="H52" s="48">
        <f t="shared" si="23"/>
        <v>0</v>
      </c>
      <c r="I52" s="6">
        <f t="shared" si="23"/>
        <v>0</v>
      </c>
      <c r="J52" s="6">
        <f t="shared" si="19"/>
        <v>0</v>
      </c>
      <c r="K52" s="6">
        <f t="shared" si="23"/>
        <v>0</v>
      </c>
      <c r="L52" s="6">
        <f t="shared" si="23"/>
        <v>0</v>
      </c>
      <c r="M52" s="6">
        <f t="shared" si="20"/>
        <v>0</v>
      </c>
      <c r="N52" s="6">
        <f t="shared" si="21"/>
        <v>1229710.58</v>
      </c>
      <c r="O52" s="6">
        <f t="shared" si="23"/>
        <v>0</v>
      </c>
      <c r="P52" s="6">
        <f>SUM(P47:P51)</f>
        <v>0</v>
      </c>
      <c r="Q52" s="6">
        <f t="shared" si="23"/>
        <v>0</v>
      </c>
      <c r="R52" s="6">
        <f t="shared" si="23"/>
        <v>0</v>
      </c>
      <c r="S52" s="6">
        <f t="shared" si="23"/>
        <v>0</v>
      </c>
      <c r="T52" s="6">
        <f>SUM(T47:T51)</f>
        <v>0</v>
      </c>
      <c r="U52" s="6">
        <f t="shared" si="23"/>
        <v>0</v>
      </c>
      <c r="V52" s="6">
        <f>SUM(V47:V51)</f>
        <v>0</v>
      </c>
      <c r="W52" s="6">
        <f>SUM(W47:W51)</f>
        <v>0</v>
      </c>
      <c r="X52" s="22">
        <f>SUM(X47:X51)</f>
        <v>0</v>
      </c>
      <c r="Y52" s="22">
        <f t="shared" si="22"/>
        <v>1229710.58</v>
      </c>
    </row>
    <row r="53" spans="1:25" x14ac:dyDescent="0.25">
      <c r="X53" s="22"/>
      <c r="Y53" s="22"/>
    </row>
    <row r="54" spans="1:25" x14ac:dyDescent="0.25">
      <c r="A54" s="3" t="s">
        <v>26</v>
      </c>
      <c r="X54" s="22"/>
      <c r="Y54" s="22"/>
    </row>
    <row r="55" spans="1:25" x14ac:dyDescent="0.25">
      <c r="A55" s="4" t="s">
        <v>27</v>
      </c>
      <c r="B55" s="86"/>
      <c r="C55" s="20"/>
      <c r="D55" s="6">
        <f t="shared" ref="D55:D60" si="24">B55+C55</f>
        <v>0</v>
      </c>
      <c r="E55" s="86"/>
      <c r="F55" s="20"/>
      <c r="G55" s="6">
        <f t="shared" ref="G55:G60" si="25">E55+F55</f>
        <v>0</v>
      </c>
      <c r="H55" s="86"/>
      <c r="I55" s="20"/>
      <c r="J55" s="6">
        <f t="shared" ref="J55:J60" si="26">H55+I55</f>
        <v>0</v>
      </c>
      <c r="K55" s="86"/>
      <c r="L55" s="20"/>
      <c r="M55" s="6">
        <f t="shared" ref="M55:M60" si="27">K55+L55</f>
        <v>0</v>
      </c>
      <c r="N55" s="6">
        <f>D55+G55+J55+M55</f>
        <v>0</v>
      </c>
      <c r="O55" s="86"/>
      <c r="P55" s="20"/>
      <c r="Q55" s="6">
        <f t="shared" ref="Q55:Q60" si="28">O55+P55</f>
        <v>0</v>
      </c>
      <c r="R55" s="86"/>
      <c r="S55" s="20"/>
      <c r="T55" s="6">
        <f t="shared" ref="T55:T60" si="29">R55+S55</f>
        <v>0</v>
      </c>
      <c r="U55" s="86"/>
      <c r="V55" s="20"/>
      <c r="W55" s="6">
        <f t="shared" ref="W55:W60" si="30">U55+V55</f>
        <v>0</v>
      </c>
      <c r="X55" s="86"/>
      <c r="Y55" s="22">
        <f t="shared" ref="Y55:Y61" si="31">N55+Q55+T55+W55</f>
        <v>0</v>
      </c>
    </row>
    <row r="56" spans="1:25" x14ac:dyDescent="0.25">
      <c r="A56" s="4" t="s">
        <v>28</v>
      </c>
      <c r="B56" s="86"/>
      <c r="C56" s="20"/>
      <c r="D56" s="6">
        <f t="shared" si="24"/>
        <v>0</v>
      </c>
      <c r="E56" s="86"/>
      <c r="F56" s="20"/>
      <c r="G56" s="6">
        <f t="shared" si="25"/>
        <v>0</v>
      </c>
      <c r="H56" s="86"/>
      <c r="I56" s="20"/>
      <c r="J56" s="6">
        <f t="shared" si="26"/>
        <v>0</v>
      </c>
      <c r="K56" s="86"/>
      <c r="L56" s="20"/>
      <c r="M56" s="6">
        <f t="shared" si="27"/>
        <v>0</v>
      </c>
      <c r="N56" s="6">
        <f t="shared" ref="N56:N61" si="32">D56+G56+J56+M56</f>
        <v>0</v>
      </c>
      <c r="O56" s="86"/>
      <c r="P56" s="20"/>
      <c r="Q56" s="6">
        <f t="shared" si="28"/>
        <v>0</v>
      </c>
      <c r="R56" s="86"/>
      <c r="S56" s="20"/>
      <c r="T56" s="6">
        <f t="shared" si="29"/>
        <v>0</v>
      </c>
      <c r="U56" s="86"/>
      <c r="V56" s="20"/>
      <c r="W56" s="6">
        <f t="shared" si="30"/>
        <v>0</v>
      </c>
      <c r="X56" s="86"/>
      <c r="Y56" s="22">
        <f t="shared" si="31"/>
        <v>0</v>
      </c>
    </row>
    <row r="57" spans="1:25" x14ac:dyDescent="0.25">
      <c r="A57" s="4" t="s">
        <v>29</v>
      </c>
      <c r="B57" s="86"/>
      <c r="C57" s="20"/>
      <c r="D57" s="6">
        <f t="shared" si="24"/>
        <v>0</v>
      </c>
      <c r="E57" s="86"/>
      <c r="F57" s="20"/>
      <c r="G57" s="6">
        <f t="shared" si="25"/>
        <v>0</v>
      </c>
      <c r="H57" s="86"/>
      <c r="I57" s="20"/>
      <c r="J57" s="6">
        <f t="shared" si="26"/>
        <v>0</v>
      </c>
      <c r="K57" s="86"/>
      <c r="L57" s="20"/>
      <c r="M57" s="6">
        <f t="shared" si="27"/>
        <v>0</v>
      </c>
      <c r="N57" s="6">
        <f t="shared" si="32"/>
        <v>0</v>
      </c>
      <c r="O57" s="86"/>
      <c r="P57" s="20"/>
      <c r="Q57" s="6">
        <f t="shared" si="28"/>
        <v>0</v>
      </c>
      <c r="R57" s="86"/>
      <c r="S57" s="20"/>
      <c r="T57" s="6">
        <f t="shared" si="29"/>
        <v>0</v>
      </c>
      <c r="U57" s="86"/>
      <c r="V57" s="20"/>
      <c r="W57" s="6">
        <f t="shared" si="30"/>
        <v>0</v>
      </c>
      <c r="X57" s="86"/>
      <c r="Y57" s="22">
        <f t="shared" si="31"/>
        <v>0</v>
      </c>
    </row>
    <row r="58" spans="1:25" x14ac:dyDescent="0.25">
      <c r="A58" s="4" t="s">
        <v>30</v>
      </c>
      <c r="B58" s="86"/>
      <c r="C58" s="20"/>
      <c r="D58" s="6">
        <f t="shared" si="24"/>
        <v>0</v>
      </c>
      <c r="E58" s="86"/>
      <c r="F58" s="20"/>
      <c r="G58" s="6">
        <f t="shared" si="25"/>
        <v>0</v>
      </c>
      <c r="H58" s="86"/>
      <c r="I58" s="20"/>
      <c r="J58" s="6">
        <f t="shared" si="26"/>
        <v>0</v>
      </c>
      <c r="K58" s="86"/>
      <c r="L58" s="20"/>
      <c r="M58" s="6">
        <f t="shared" si="27"/>
        <v>0</v>
      </c>
      <c r="N58" s="6">
        <f t="shared" si="32"/>
        <v>0</v>
      </c>
      <c r="O58" s="86"/>
      <c r="P58" s="20"/>
      <c r="Q58" s="6">
        <f t="shared" si="28"/>
        <v>0</v>
      </c>
      <c r="R58" s="86"/>
      <c r="S58" s="20"/>
      <c r="T58" s="6">
        <f t="shared" si="29"/>
        <v>0</v>
      </c>
      <c r="U58" s="86"/>
      <c r="V58" s="20"/>
      <c r="W58" s="6">
        <f t="shared" si="30"/>
        <v>0</v>
      </c>
      <c r="X58" s="86"/>
      <c r="Y58" s="22">
        <f t="shared" si="31"/>
        <v>0</v>
      </c>
    </row>
    <row r="59" spans="1:25" x14ac:dyDescent="0.25">
      <c r="A59" s="4" t="s">
        <v>31</v>
      </c>
      <c r="B59" s="52"/>
      <c r="C59" s="20"/>
      <c r="D59" s="6">
        <f t="shared" si="24"/>
        <v>0</v>
      </c>
      <c r="E59" s="20">
        <v>1215448.47</v>
      </c>
      <c r="F59" s="20"/>
      <c r="G59" s="6">
        <f t="shared" si="25"/>
        <v>1215448.47</v>
      </c>
      <c r="H59" s="52"/>
      <c r="I59" s="20"/>
      <c r="J59" s="6">
        <f t="shared" si="26"/>
        <v>0</v>
      </c>
      <c r="K59" s="20"/>
      <c r="L59" s="20"/>
      <c r="M59" s="6">
        <f t="shared" si="27"/>
        <v>0</v>
      </c>
      <c r="N59" s="6">
        <f t="shared" si="32"/>
        <v>1215448.47</v>
      </c>
      <c r="O59" s="20"/>
      <c r="P59" s="20"/>
      <c r="Q59" s="6">
        <f t="shared" si="28"/>
        <v>0</v>
      </c>
      <c r="R59" s="20"/>
      <c r="S59" s="20"/>
      <c r="T59" s="6">
        <f t="shared" si="29"/>
        <v>0</v>
      </c>
      <c r="U59" s="20"/>
      <c r="V59" s="20"/>
      <c r="W59" s="6">
        <f t="shared" si="30"/>
        <v>0</v>
      </c>
      <c r="X59" s="20"/>
      <c r="Y59" s="22">
        <f t="shared" si="31"/>
        <v>1215448.47</v>
      </c>
    </row>
    <row r="60" spans="1:25" x14ac:dyDescent="0.25">
      <c r="A60" s="4" t="s">
        <v>62</v>
      </c>
      <c r="B60" s="86"/>
      <c r="C60" s="20"/>
      <c r="D60" s="6">
        <f t="shared" si="24"/>
        <v>0</v>
      </c>
      <c r="E60" s="86"/>
      <c r="F60" s="20"/>
      <c r="G60" s="6">
        <f t="shared" si="25"/>
        <v>0</v>
      </c>
      <c r="H60" s="86"/>
      <c r="I60" s="20"/>
      <c r="J60" s="6">
        <f t="shared" si="26"/>
        <v>0</v>
      </c>
      <c r="K60" s="86"/>
      <c r="L60" s="20"/>
      <c r="M60" s="6">
        <f t="shared" si="27"/>
        <v>0</v>
      </c>
      <c r="N60" s="6">
        <f t="shared" si="32"/>
        <v>0</v>
      </c>
      <c r="O60" s="86"/>
      <c r="P60" s="20"/>
      <c r="Q60" s="6">
        <f t="shared" si="28"/>
        <v>0</v>
      </c>
      <c r="R60" s="86"/>
      <c r="S60" s="20"/>
      <c r="T60" s="6">
        <f t="shared" si="29"/>
        <v>0</v>
      </c>
      <c r="U60" s="86"/>
      <c r="V60" s="20"/>
      <c r="W60" s="6">
        <f t="shared" si="30"/>
        <v>0</v>
      </c>
      <c r="X60" s="86"/>
      <c r="Y60" s="22">
        <f t="shared" si="31"/>
        <v>0</v>
      </c>
    </row>
    <row r="61" spans="1:25" x14ac:dyDescent="0.25">
      <c r="A61" s="2" t="s">
        <v>32</v>
      </c>
      <c r="B61" s="48">
        <f>SUM(B55:B60)</f>
        <v>0</v>
      </c>
      <c r="C61" s="6">
        <f t="shared" ref="C61:O61" si="33">SUM(C55:C60)</f>
        <v>0</v>
      </c>
      <c r="D61" s="6">
        <f t="shared" si="33"/>
        <v>0</v>
      </c>
      <c r="E61" s="6">
        <f t="shared" si="33"/>
        <v>1215448.47</v>
      </c>
      <c r="F61" s="6">
        <f t="shared" si="33"/>
        <v>0</v>
      </c>
      <c r="G61" s="6">
        <f t="shared" si="33"/>
        <v>1215448.47</v>
      </c>
      <c r="H61" s="48">
        <f t="shared" si="33"/>
        <v>0</v>
      </c>
      <c r="I61" s="6">
        <f t="shared" si="33"/>
        <v>0</v>
      </c>
      <c r="J61" s="6">
        <f t="shared" si="33"/>
        <v>0</v>
      </c>
      <c r="K61" s="6">
        <f t="shared" si="33"/>
        <v>0</v>
      </c>
      <c r="L61" s="6">
        <f t="shared" si="33"/>
        <v>0</v>
      </c>
      <c r="M61" s="6">
        <f t="shared" si="33"/>
        <v>0</v>
      </c>
      <c r="N61" s="6">
        <f t="shared" si="32"/>
        <v>1215448.47</v>
      </c>
      <c r="O61" s="6">
        <f t="shared" si="33"/>
        <v>0</v>
      </c>
      <c r="P61" s="6">
        <f t="shared" ref="P61:X61" si="34">SUM(P55:P60)</f>
        <v>0</v>
      </c>
      <c r="Q61" s="6">
        <f t="shared" si="34"/>
        <v>0</v>
      </c>
      <c r="R61" s="6">
        <f t="shared" si="34"/>
        <v>0</v>
      </c>
      <c r="S61" s="6">
        <f t="shared" si="34"/>
        <v>0</v>
      </c>
      <c r="T61" s="6">
        <f t="shared" si="34"/>
        <v>0</v>
      </c>
      <c r="U61" s="6">
        <f t="shared" si="34"/>
        <v>0</v>
      </c>
      <c r="V61" s="6">
        <f t="shared" si="34"/>
        <v>0</v>
      </c>
      <c r="W61" s="6">
        <f t="shared" si="34"/>
        <v>0</v>
      </c>
      <c r="X61" s="22">
        <f t="shared" si="34"/>
        <v>0</v>
      </c>
      <c r="Y61" s="22">
        <f t="shared" si="31"/>
        <v>1215448.47</v>
      </c>
    </row>
    <row r="62" spans="1:25" x14ac:dyDescent="0.25">
      <c r="X62" s="22"/>
      <c r="Y62" s="22"/>
    </row>
    <row r="63" spans="1:25" x14ac:dyDescent="0.25">
      <c r="A63" s="2" t="s">
        <v>33</v>
      </c>
      <c r="B63" s="48">
        <f t="shared" ref="B63:M63" si="35">B52-B61</f>
        <v>0</v>
      </c>
      <c r="C63" s="6">
        <f t="shared" si="35"/>
        <v>0</v>
      </c>
      <c r="D63" s="6">
        <f t="shared" si="35"/>
        <v>0</v>
      </c>
      <c r="E63" s="6">
        <f t="shared" si="35"/>
        <v>-3228.8899999998976</v>
      </c>
      <c r="F63" s="6">
        <f t="shared" si="35"/>
        <v>17491</v>
      </c>
      <c r="G63" s="6">
        <f t="shared" si="35"/>
        <v>14262.110000000102</v>
      </c>
      <c r="H63" s="48">
        <f t="shared" si="35"/>
        <v>0</v>
      </c>
      <c r="I63" s="6">
        <f t="shared" si="35"/>
        <v>0</v>
      </c>
      <c r="J63" s="6">
        <f t="shared" si="35"/>
        <v>0</v>
      </c>
      <c r="K63" s="6">
        <f t="shared" si="35"/>
        <v>0</v>
      </c>
      <c r="L63" s="6">
        <f t="shared" si="35"/>
        <v>0</v>
      </c>
      <c r="M63" s="6">
        <f t="shared" si="35"/>
        <v>0</v>
      </c>
      <c r="N63" s="6">
        <f>D63+G63+J63+M63</f>
        <v>14262.110000000102</v>
      </c>
      <c r="O63" s="6">
        <f t="shared" ref="O63:W63" si="36">O52-O61</f>
        <v>0</v>
      </c>
      <c r="P63" s="6">
        <f t="shared" si="36"/>
        <v>0</v>
      </c>
      <c r="Q63" s="6">
        <f t="shared" si="36"/>
        <v>0</v>
      </c>
      <c r="R63" s="6">
        <f t="shared" si="36"/>
        <v>0</v>
      </c>
      <c r="S63" s="6">
        <f t="shared" si="36"/>
        <v>0</v>
      </c>
      <c r="T63" s="6">
        <f t="shared" si="36"/>
        <v>0</v>
      </c>
      <c r="U63" s="6">
        <f t="shared" si="36"/>
        <v>0</v>
      </c>
      <c r="V63" s="6">
        <f t="shared" si="36"/>
        <v>0</v>
      </c>
      <c r="W63" s="6">
        <f t="shared" si="36"/>
        <v>0</v>
      </c>
      <c r="X63" s="22"/>
      <c r="Y63" s="22">
        <f>N63+Q63+T63+W63</f>
        <v>14262.110000000102</v>
      </c>
    </row>
    <row r="64" spans="1:25" x14ac:dyDescent="0.25">
      <c r="X64" s="22"/>
      <c r="Y64" s="22"/>
    </row>
    <row r="65" spans="1:25" x14ac:dyDescent="0.25">
      <c r="A65" t="s">
        <v>301</v>
      </c>
      <c r="B65" s="52"/>
      <c r="C65" s="20"/>
      <c r="D65" s="6">
        <f>B65+C65</f>
        <v>0</v>
      </c>
      <c r="E65" s="20"/>
      <c r="F65" s="20"/>
      <c r="G65" s="6">
        <f>E65+F65</f>
        <v>0</v>
      </c>
      <c r="H65" s="52"/>
      <c r="I65" s="20"/>
      <c r="J65" s="6">
        <f>H65+I65</f>
        <v>0</v>
      </c>
      <c r="K65" s="20"/>
      <c r="L65" s="20"/>
      <c r="M65" s="6">
        <f>K65+L65</f>
        <v>0</v>
      </c>
      <c r="N65" s="6">
        <f>D65+G65+J65+M65</f>
        <v>0</v>
      </c>
      <c r="O65" s="20"/>
      <c r="P65" s="20"/>
      <c r="Q65" s="6">
        <f>O65+P65</f>
        <v>0</v>
      </c>
      <c r="R65" s="20"/>
      <c r="S65" s="20"/>
      <c r="T65" s="6">
        <f>R65+S65</f>
        <v>0</v>
      </c>
      <c r="U65" s="20"/>
      <c r="V65" s="20"/>
      <c r="W65" s="6">
        <f>U65+V65</f>
        <v>0</v>
      </c>
      <c r="X65" s="20"/>
      <c r="Y65" s="22">
        <f>N65+Q65+T65+W65+X65</f>
        <v>0</v>
      </c>
    </row>
    <row r="66" spans="1:25" x14ac:dyDescent="0.25">
      <c r="A66" t="s">
        <v>34</v>
      </c>
      <c r="B66" s="52"/>
      <c r="C66" s="20"/>
      <c r="D66" s="6">
        <f>B66+C66</f>
        <v>0</v>
      </c>
      <c r="E66" s="20">
        <v>227.4</v>
      </c>
      <c r="F66" s="20"/>
      <c r="G66" s="6">
        <f>E66+F66</f>
        <v>227.4</v>
      </c>
      <c r="H66" s="52"/>
      <c r="I66" s="20"/>
      <c r="J66" s="6">
        <f>H66+I66</f>
        <v>0</v>
      </c>
      <c r="K66" s="20"/>
      <c r="L66" s="20"/>
      <c r="M66" s="6">
        <f>K66+L66</f>
        <v>0</v>
      </c>
      <c r="N66" s="6">
        <f>D66+G66+J66+M66</f>
        <v>227.4</v>
      </c>
      <c r="O66" s="20"/>
      <c r="P66" s="20"/>
      <c r="Q66" s="6">
        <f>O66+P66</f>
        <v>0</v>
      </c>
      <c r="R66" s="20"/>
      <c r="S66" s="20"/>
      <c r="T66" s="6">
        <f>R66+S66</f>
        <v>0</v>
      </c>
      <c r="U66" s="20"/>
      <c r="V66" s="20"/>
      <c r="W66" s="6">
        <f>U66+V66</f>
        <v>0</v>
      </c>
      <c r="X66" s="20"/>
      <c r="Y66" s="22">
        <f>N66+Q66+T66+W66+X66</f>
        <v>227.4</v>
      </c>
    </row>
    <row r="67" spans="1:25" x14ac:dyDescent="0.25">
      <c r="A67" t="s">
        <v>35</v>
      </c>
      <c r="B67" s="52"/>
      <c r="C67" s="20"/>
      <c r="D67" s="6">
        <f>B67+C67</f>
        <v>0</v>
      </c>
      <c r="E67" s="20">
        <v>14490.74</v>
      </c>
      <c r="F67" s="20"/>
      <c r="G67" s="6">
        <f>E67+F67</f>
        <v>14490.74</v>
      </c>
      <c r="H67" s="52"/>
      <c r="I67" s="20"/>
      <c r="J67" s="6">
        <f>H67+I67</f>
        <v>0</v>
      </c>
      <c r="K67" s="20"/>
      <c r="L67" s="20"/>
      <c r="M67" s="6">
        <f>K67+L67</f>
        <v>0</v>
      </c>
      <c r="N67" s="6">
        <f>D67+G67+J67+M67</f>
        <v>14490.74</v>
      </c>
      <c r="O67" s="20"/>
      <c r="P67" s="20"/>
      <c r="Q67" s="6">
        <f>O67+P67</f>
        <v>0</v>
      </c>
      <c r="R67" s="20"/>
      <c r="S67" s="20"/>
      <c r="T67" s="6">
        <f>R67+S67</f>
        <v>0</v>
      </c>
      <c r="U67" s="20"/>
      <c r="V67" s="20"/>
      <c r="W67" s="6">
        <f>U67+V67</f>
        <v>0</v>
      </c>
      <c r="X67" s="20"/>
      <c r="Y67" s="22">
        <f>N67+Q67+T67+W67+X67</f>
        <v>14490.74</v>
      </c>
    </row>
    <row r="68" spans="1:25" x14ac:dyDescent="0.25">
      <c r="A68" s="2" t="s">
        <v>36</v>
      </c>
      <c r="B68" s="48">
        <f>B65+B66-B67</f>
        <v>0</v>
      </c>
      <c r="C68" s="6">
        <f>C65+C66-C67</f>
        <v>0</v>
      </c>
      <c r="D68" s="6">
        <f>D65+D66-D67</f>
        <v>0</v>
      </c>
      <c r="E68" s="6">
        <f>E65+E66-E67</f>
        <v>-14263.34</v>
      </c>
      <c r="F68" s="6">
        <f>F65+F66-F67</f>
        <v>0</v>
      </c>
      <c r="G68" s="6">
        <f>E68+F68</f>
        <v>-14263.34</v>
      </c>
      <c r="H68" s="48">
        <f>H65+H66-H67</f>
        <v>0</v>
      </c>
      <c r="I68" s="6">
        <f>I65+I66-I67</f>
        <v>0</v>
      </c>
      <c r="J68" s="6">
        <f>H68+I68</f>
        <v>0</v>
      </c>
      <c r="K68" s="6">
        <f>K65+K66-K67</f>
        <v>0</v>
      </c>
      <c r="L68" s="6">
        <f>L65+L66-L67</f>
        <v>0</v>
      </c>
      <c r="M68" s="6">
        <f>K68+L68</f>
        <v>0</v>
      </c>
      <c r="N68" s="6">
        <f>D68+G68+J68+M68</f>
        <v>-14263.34</v>
      </c>
      <c r="O68" s="6">
        <f>O65+O66-O67</f>
        <v>0</v>
      </c>
      <c r="P68" s="6">
        <f>P65+P66-P67</f>
        <v>0</v>
      </c>
      <c r="Q68" s="6">
        <f>Q66-Q67</f>
        <v>0</v>
      </c>
      <c r="R68" s="6">
        <f>R65+R66-R67</f>
        <v>0</v>
      </c>
      <c r="S68" s="6">
        <f>S65+S66-S67</f>
        <v>0</v>
      </c>
      <c r="T68" s="6">
        <f>T66-T67</f>
        <v>0</v>
      </c>
      <c r="U68" s="6">
        <f>U65+U66-U67</f>
        <v>0</v>
      </c>
      <c r="V68" s="6">
        <f>V65+V66-V67</f>
        <v>0</v>
      </c>
      <c r="W68" s="6">
        <f>W66-W67</f>
        <v>0</v>
      </c>
      <c r="X68" s="22">
        <f>X66-X67</f>
        <v>0</v>
      </c>
      <c r="Y68" s="22">
        <f>N68+Q68+T68+W68</f>
        <v>-14263.34</v>
      </c>
    </row>
    <row r="69" spans="1:25" x14ac:dyDescent="0.25">
      <c r="X69" s="22"/>
      <c r="Y69" s="22"/>
    </row>
    <row r="70" spans="1:25" x14ac:dyDescent="0.25">
      <c r="A70" s="2" t="s">
        <v>37</v>
      </c>
      <c r="B70" s="48">
        <f t="shared" ref="B70:M70" si="37">B63+B68</f>
        <v>0</v>
      </c>
      <c r="C70" s="6">
        <f t="shared" si="37"/>
        <v>0</v>
      </c>
      <c r="D70" s="6">
        <f t="shared" si="37"/>
        <v>0</v>
      </c>
      <c r="E70" s="6">
        <f t="shared" si="37"/>
        <v>-17492.229999999898</v>
      </c>
      <c r="F70" s="6">
        <f t="shared" si="37"/>
        <v>17491</v>
      </c>
      <c r="G70" s="6">
        <f t="shared" si="37"/>
        <v>-1.2299999998977</v>
      </c>
      <c r="H70" s="48">
        <f t="shared" si="37"/>
        <v>0</v>
      </c>
      <c r="I70" s="6">
        <f t="shared" si="37"/>
        <v>0</v>
      </c>
      <c r="J70" s="6">
        <f t="shared" si="37"/>
        <v>0</v>
      </c>
      <c r="K70" s="6">
        <f t="shared" si="37"/>
        <v>0</v>
      </c>
      <c r="L70" s="6">
        <f t="shared" si="37"/>
        <v>0</v>
      </c>
      <c r="M70" s="6">
        <f t="shared" si="37"/>
        <v>0</v>
      </c>
      <c r="N70" s="6">
        <f>D70+G70+J70+M70</f>
        <v>-1.2299999998977</v>
      </c>
      <c r="O70" s="6">
        <f t="shared" ref="O70:X70" si="38">O63+O68</f>
        <v>0</v>
      </c>
      <c r="P70" s="6">
        <f t="shared" si="38"/>
        <v>0</v>
      </c>
      <c r="Q70" s="6">
        <f t="shared" si="38"/>
        <v>0</v>
      </c>
      <c r="R70" s="6">
        <f t="shared" si="38"/>
        <v>0</v>
      </c>
      <c r="S70" s="6">
        <f t="shared" si="38"/>
        <v>0</v>
      </c>
      <c r="T70" s="6">
        <f t="shared" si="38"/>
        <v>0</v>
      </c>
      <c r="U70" s="6">
        <f t="shared" si="38"/>
        <v>0</v>
      </c>
      <c r="V70" s="6">
        <f t="shared" si="38"/>
        <v>0</v>
      </c>
      <c r="W70" s="6">
        <f t="shared" si="38"/>
        <v>0</v>
      </c>
      <c r="X70" s="22">
        <f t="shared" si="38"/>
        <v>0</v>
      </c>
      <c r="Y70" s="22">
        <f>N70+Q70+T70+W70</f>
        <v>-1.2299999998977</v>
      </c>
    </row>
    <row r="71" spans="1:25" x14ac:dyDescent="0.25">
      <c r="A71" t="s">
        <v>38</v>
      </c>
      <c r="B71" s="48">
        <f>B72-B70</f>
        <v>0</v>
      </c>
      <c r="C71" s="6">
        <f>C72-C70</f>
        <v>0</v>
      </c>
      <c r="D71" s="6">
        <f>D72-D70</f>
        <v>0</v>
      </c>
      <c r="E71" s="6">
        <f>E72-E70</f>
        <v>1.1099999998987187</v>
      </c>
      <c r="F71" s="6">
        <f>F72-F70</f>
        <v>0</v>
      </c>
      <c r="G71" s="6">
        <f>E71+F71</f>
        <v>1.1099999998987187</v>
      </c>
      <c r="H71" s="48">
        <f>H72-H70</f>
        <v>0</v>
      </c>
      <c r="I71" s="6">
        <f>I72-I70</f>
        <v>0</v>
      </c>
      <c r="J71" s="6">
        <f>H71+I71</f>
        <v>0</v>
      </c>
      <c r="K71" s="6">
        <f>K72-K70</f>
        <v>0</v>
      </c>
      <c r="L71" s="6">
        <f>L72-L70</f>
        <v>0</v>
      </c>
      <c r="M71" s="6">
        <f>K71+L71</f>
        <v>0</v>
      </c>
      <c r="N71" s="6">
        <f>D71+G71+J71+M71</f>
        <v>1.1099999998987187</v>
      </c>
      <c r="O71" s="6">
        <f>O72-O70</f>
        <v>0</v>
      </c>
      <c r="P71" s="6">
        <f>P72-P70</f>
        <v>0</v>
      </c>
      <c r="Q71" s="6">
        <f>O71+P71</f>
        <v>0</v>
      </c>
      <c r="R71" s="6">
        <f>R72-R70</f>
        <v>0</v>
      </c>
      <c r="S71" s="6">
        <f>S72-S70</f>
        <v>0</v>
      </c>
      <c r="T71" s="6">
        <f>R71+S71</f>
        <v>0</v>
      </c>
      <c r="U71" s="6">
        <f>U72-U70</f>
        <v>0</v>
      </c>
      <c r="V71" s="6">
        <f>V72-V70</f>
        <v>0</v>
      </c>
      <c r="W71" s="6">
        <f>U71+V71</f>
        <v>0</v>
      </c>
      <c r="X71" s="22">
        <f>V71+W71</f>
        <v>0</v>
      </c>
      <c r="Y71" s="22">
        <f>N71+Q71+T71+W71</f>
        <v>1.1099999998987187</v>
      </c>
    </row>
    <row r="72" spans="1:25" x14ac:dyDescent="0.25">
      <c r="A72" s="2" t="s">
        <v>39</v>
      </c>
      <c r="B72" s="48">
        <f t="shared" ref="B72:M72" si="39">B42</f>
        <v>0</v>
      </c>
      <c r="C72" s="6">
        <f t="shared" si="39"/>
        <v>0</v>
      </c>
      <c r="D72" s="6">
        <f t="shared" si="39"/>
        <v>0</v>
      </c>
      <c r="E72" s="6">
        <f t="shared" si="39"/>
        <v>-17491.12</v>
      </c>
      <c r="F72" s="6">
        <f t="shared" si="39"/>
        <v>17491</v>
      </c>
      <c r="G72" s="6">
        <f t="shared" si="39"/>
        <v>-0.11999999999898137</v>
      </c>
      <c r="H72" s="48">
        <f t="shared" si="39"/>
        <v>0</v>
      </c>
      <c r="I72" s="6">
        <f t="shared" si="39"/>
        <v>0</v>
      </c>
      <c r="J72" s="6">
        <f t="shared" si="39"/>
        <v>0</v>
      </c>
      <c r="K72" s="6">
        <f t="shared" si="39"/>
        <v>0</v>
      </c>
      <c r="L72" s="6">
        <f t="shared" si="39"/>
        <v>0</v>
      </c>
      <c r="M72" s="6">
        <f t="shared" si="39"/>
        <v>0</v>
      </c>
      <c r="N72" s="6">
        <f>D72+G72+J72+M72</f>
        <v>-0.11999999999898137</v>
      </c>
      <c r="O72" s="6">
        <f t="shared" ref="O72:X72" si="40">O42</f>
        <v>0</v>
      </c>
      <c r="P72" s="6">
        <f t="shared" si="40"/>
        <v>0</v>
      </c>
      <c r="Q72" s="6">
        <f t="shared" si="40"/>
        <v>0</v>
      </c>
      <c r="R72" s="6">
        <f t="shared" si="40"/>
        <v>0</v>
      </c>
      <c r="S72" s="6">
        <f t="shared" si="40"/>
        <v>0</v>
      </c>
      <c r="T72" s="6">
        <f t="shared" si="40"/>
        <v>0</v>
      </c>
      <c r="U72" s="6">
        <f t="shared" si="40"/>
        <v>0</v>
      </c>
      <c r="V72" s="6">
        <f t="shared" si="40"/>
        <v>0</v>
      </c>
      <c r="W72" s="6">
        <f t="shared" si="40"/>
        <v>0</v>
      </c>
      <c r="X72" s="22">
        <f t="shared" si="40"/>
        <v>0</v>
      </c>
      <c r="Y72" s="22">
        <f>N72+Q72+T72+W72</f>
        <v>-0.11999999999898137</v>
      </c>
    </row>
  </sheetData>
  <sheetProtection formatCells="0" formatColumns="0" formatRows="0"/>
  <customSheetViews>
    <customSheetView guid="{E68B3865-8D72-47E7-BE32-0FF7EB09E889}">
      <pane xSplit="1" ySplit="5" topLeftCell="Q51" activePane="bottomRight" state="frozen"/>
      <selection pane="bottomRight" activeCell="A4" sqref="A4"/>
      <pageMargins left="0.45" right="0.45" top="0.5" bottom="0.5" header="0.3" footer="0.3"/>
      <printOptions gridLines="1"/>
      <pageSetup scale="60" fitToWidth="2" orientation="landscape" horizontalDpi="4294967293" r:id="rId1"/>
    </customSheetView>
    <customSheetView guid="{2B2709E2-6DF4-4CC4-88D0-056FB306137C}">
      <pane xSplit="1" ySplit="5" topLeftCell="C45" activePane="bottomRight" state="frozen"/>
      <selection pane="bottomRight" activeCell="T67" sqref="T67"/>
      <pageMargins left="0.45" right="0.45" top="0.5" bottom="0.5" header="0.3" footer="0.3"/>
      <printOptions gridLines="1"/>
      <pageSetup scale="60" fitToWidth="2" orientation="landscape" horizontalDpi="4294967293" r:id="rId2"/>
    </customSheetView>
    <customSheetView guid="{EC03C3C8-7E57-47C6-8413-F484E8C46A0C}" showPageBreaks="1">
      <pane xSplit="1" ySplit="5" topLeftCell="O40" activePane="bottomRight" state="frozen"/>
      <selection pane="bottomRight" activeCell="O51" sqref="O51"/>
      <pageMargins left="0.45" right="0.45" top="0.5" bottom="0.5" header="0.3" footer="0.3"/>
      <printOptions gridLines="1"/>
      <pageSetup scale="60" fitToWidth="2" orientation="landscape" horizontalDpi="4294967293" r:id="rId3"/>
    </customSheetView>
    <customSheetView guid="{D62C3EC3-27D1-41F3-9A4E-06307CA202CE}" showPageBreaks="1" showRuler="0">
      <pane xSplit="1" ySplit="5" topLeftCell="B30" activePane="bottomRight" state="frozen"/>
      <selection pane="bottomRight" activeCell="U33" sqref="U33"/>
      <pageMargins left="0.45" right="0.45" top="0.5" bottom="0.5" header="0.3" footer="0.3"/>
      <printOptions gridLines="1"/>
      <pageSetup scale="60" fitToWidth="2" orientation="landscape" horizontalDpi="4294967293" r:id="rId4"/>
      <headerFooter alignWithMargins="0"/>
    </customSheetView>
    <customSheetView guid="{A6F79E61-D6A3-44FD-B4A4-4724DF74349B}" showPageBreaks="1">
      <pane xSplit="1" ySplit="5" topLeftCell="I6" activePane="bottomRight" state="frozen"/>
      <selection pane="bottomRight" activeCell="Z9" sqref="Z9"/>
      <pageMargins left="0.45" right="0.45" top="0.5" bottom="0.5" header="0.3" footer="0.3"/>
      <printOptions gridLines="1"/>
      <pageSetup scale="60" fitToWidth="2" orientation="landscape" horizontalDpi="4294967293" r:id="rId5"/>
    </customSheetView>
    <customSheetView guid="{DE6E911D-85BF-467A-AA00-1E84C5349CF7}" showPageBreaks="1">
      <pane xSplit="1" ySplit="5" topLeftCell="B42" activePane="bottomRight" state="frozen"/>
      <selection pane="bottomRight" activeCell="F67" sqref="F67"/>
      <pageMargins left="0.45" right="0.45" top="0.5" bottom="0.5" header="0.3" footer="0.3"/>
      <printOptions gridLines="1"/>
      <pageSetup scale="60" fitToWidth="2" orientation="landscape" horizontalDpi="4294967293" r:id="rId6"/>
    </customSheetView>
  </customSheetViews>
  <phoneticPr fontId="0" type="noConversion"/>
  <printOptions gridLines="1"/>
  <pageMargins left="0.45" right="0.45" top="0.5" bottom="0.5" header="0.3" footer="0.3"/>
  <pageSetup scale="60" fitToWidth="2" orientation="landscape" horizontalDpi="4294967293" r:id="rId7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topLeftCell="A49" workbookViewId="0">
      <selection activeCell="A4" sqref="A4"/>
    </sheetView>
  </sheetViews>
  <sheetFormatPr defaultRowHeight="15" x14ac:dyDescent="0.25"/>
  <cols>
    <col min="1" max="1" width="31" customWidth="1"/>
    <col min="2" max="2" width="12.7109375" style="6" bestFit="1" customWidth="1"/>
    <col min="3" max="4" width="11.85546875" style="6" bestFit="1" customWidth="1"/>
    <col min="5" max="5" width="12.7109375" style="6" bestFit="1" customWidth="1"/>
    <col min="6" max="6" width="11.85546875" style="6" customWidth="1"/>
    <col min="7" max="7" width="16.42578125" style="6" customWidth="1"/>
    <col min="8" max="8" width="14" style="6" customWidth="1"/>
    <col min="9" max="10" width="16.42578125" style="6" customWidth="1"/>
    <col min="11" max="11" width="9.140625" style="6"/>
    <col min="12" max="12" width="13.5703125" style="6" bestFit="1" customWidth="1"/>
    <col min="13" max="13" width="12.7109375" bestFit="1" customWidth="1"/>
  </cols>
  <sheetData>
    <row r="1" spans="1:12" ht="23.25" x14ac:dyDescent="0.35">
      <c r="A1" s="5" t="s">
        <v>105</v>
      </c>
    </row>
    <row r="2" spans="1:12" x14ac:dyDescent="0.25">
      <c r="A2" t="s">
        <v>1</v>
      </c>
    </row>
    <row r="3" spans="1:12" x14ac:dyDescent="0.25">
      <c r="A3" s="1">
        <v>43435</v>
      </c>
    </row>
    <row r="4" spans="1:12" x14ac:dyDescent="0.25">
      <c r="A4" s="1"/>
      <c r="B4" s="6" t="s">
        <v>361</v>
      </c>
      <c r="C4" s="6" t="s">
        <v>361</v>
      </c>
      <c r="D4" s="6" t="s">
        <v>360</v>
      </c>
    </row>
    <row r="5" spans="1:12" ht="45" x14ac:dyDescent="0.25">
      <c r="A5" s="1"/>
      <c r="B5" s="7" t="s">
        <v>106</v>
      </c>
      <c r="C5" s="7" t="s">
        <v>107</v>
      </c>
      <c r="D5" s="7" t="s">
        <v>108</v>
      </c>
      <c r="E5" s="7" t="s">
        <v>109</v>
      </c>
      <c r="F5" s="7"/>
      <c r="G5" s="7"/>
      <c r="H5" s="7"/>
      <c r="I5" s="7"/>
      <c r="J5" s="7"/>
      <c r="K5" s="7"/>
      <c r="L5" s="7"/>
    </row>
    <row r="6" spans="1:12" x14ac:dyDescent="0.25">
      <c r="E6" s="7"/>
    </row>
    <row r="7" spans="1:12" x14ac:dyDescent="0.25">
      <c r="A7" s="3" t="s">
        <v>2</v>
      </c>
      <c r="E7" s="7"/>
    </row>
    <row r="8" spans="1:12" x14ac:dyDescent="0.25">
      <c r="A8" s="4" t="s">
        <v>3</v>
      </c>
      <c r="B8" s="21">
        <v>5683.21</v>
      </c>
      <c r="C8" s="21">
        <v>119014.38</v>
      </c>
      <c r="D8" s="21">
        <v>37127.230000000003</v>
      </c>
      <c r="E8" s="7">
        <f t="shared" ref="E8:E13" si="0">SUM(B8:D8)</f>
        <v>161824.82</v>
      </c>
      <c r="G8" s="55"/>
    </row>
    <row r="9" spans="1:12" x14ac:dyDescent="0.25">
      <c r="A9" s="4" t="s">
        <v>4</v>
      </c>
      <c r="B9" s="21"/>
      <c r="C9" s="21"/>
      <c r="D9" s="21"/>
      <c r="E9" s="7">
        <f t="shared" si="0"/>
        <v>0</v>
      </c>
    </row>
    <row r="10" spans="1:12" x14ac:dyDescent="0.25">
      <c r="A10" s="4" t="s">
        <v>6</v>
      </c>
      <c r="B10" s="21"/>
      <c r="C10" s="21"/>
      <c r="D10" s="21"/>
      <c r="E10" s="7">
        <f t="shared" si="0"/>
        <v>0</v>
      </c>
    </row>
    <row r="11" spans="1:12" x14ac:dyDescent="0.25">
      <c r="A11" s="4" t="s">
        <v>5</v>
      </c>
      <c r="B11" s="21"/>
      <c r="C11" s="21"/>
      <c r="D11" s="21"/>
      <c r="E11" s="7">
        <f t="shared" si="0"/>
        <v>0</v>
      </c>
    </row>
    <row r="12" spans="1:12" x14ac:dyDescent="0.25">
      <c r="A12" s="4" t="s">
        <v>61</v>
      </c>
      <c r="B12" s="21"/>
      <c r="C12" s="21"/>
      <c r="D12" s="21">
        <v>3000</v>
      </c>
      <c r="E12" s="7">
        <f t="shared" si="0"/>
        <v>3000</v>
      </c>
    </row>
    <row r="13" spans="1:12" x14ac:dyDescent="0.25">
      <c r="A13" s="2" t="s">
        <v>7</v>
      </c>
      <c r="B13" s="6">
        <f>SUM(B8:B12)</f>
        <v>5683.21</v>
      </c>
      <c r="C13" s="6">
        <f>SUM(C8:C12)</f>
        <v>119014.38</v>
      </c>
      <c r="D13" s="6">
        <f>SUM(D8:D12)</f>
        <v>40127.230000000003</v>
      </c>
      <c r="E13" s="7">
        <f t="shared" si="0"/>
        <v>164824.82</v>
      </c>
    </row>
    <row r="14" spans="1:12" x14ac:dyDescent="0.25">
      <c r="E14" s="7"/>
    </row>
    <row r="15" spans="1:12" x14ac:dyDescent="0.25">
      <c r="A15" s="3" t="s">
        <v>8</v>
      </c>
      <c r="E15" s="7"/>
    </row>
    <row r="16" spans="1:12" x14ac:dyDescent="0.25">
      <c r="A16" s="4" t="s">
        <v>9</v>
      </c>
      <c r="B16" s="21"/>
      <c r="C16" s="21"/>
      <c r="D16" s="21"/>
      <c r="E16" s="7">
        <f>SUM(B16:D16)</f>
        <v>0</v>
      </c>
    </row>
    <row r="17" spans="1:5" x14ac:dyDescent="0.25">
      <c r="A17" s="4" t="s">
        <v>10</v>
      </c>
      <c r="B17" s="21"/>
      <c r="C17" s="21"/>
      <c r="D17" s="21"/>
      <c r="E17" s="7">
        <f>SUM(B17:D17)</f>
        <v>0</v>
      </c>
    </row>
    <row r="18" spans="1:5" x14ac:dyDescent="0.25">
      <c r="A18" s="4" t="s">
        <v>190</v>
      </c>
      <c r="B18" s="21"/>
      <c r="C18" s="21"/>
      <c r="D18" s="21"/>
      <c r="E18" s="7">
        <f>SUM(B18:D18)</f>
        <v>0</v>
      </c>
    </row>
    <row r="19" spans="1:5" x14ac:dyDescent="0.25">
      <c r="A19" s="4" t="s">
        <v>12</v>
      </c>
      <c r="B19" s="21"/>
      <c r="C19" s="21"/>
      <c r="D19" s="21"/>
      <c r="E19" s="7">
        <f>SUM(B19:D19)</f>
        <v>0</v>
      </c>
    </row>
    <row r="20" spans="1:5" x14ac:dyDescent="0.25">
      <c r="A20" s="2" t="s">
        <v>13</v>
      </c>
      <c r="B20" s="6">
        <f>SUM(B16:B19)</f>
        <v>0</v>
      </c>
      <c r="C20" s="6">
        <f>SUM(C16:C19)</f>
        <v>0</v>
      </c>
      <c r="D20" s="6">
        <f>SUM(D16:D19)</f>
        <v>0</v>
      </c>
      <c r="E20" s="7">
        <f>SUM(B20:D20)</f>
        <v>0</v>
      </c>
    </row>
    <row r="21" spans="1:5" x14ac:dyDescent="0.25">
      <c r="E21" s="7"/>
    </row>
    <row r="22" spans="1:5" x14ac:dyDescent="0.25">
      <c r="A22" s="3" t="s">
        <v>14</v>
      </c>
      <c r="E22" s="7"/>
    </row>
    <row r="23" spans="1:5" x14ac:dyDescent="0.25">
      <c r="A23" s="91" t="s">
        <v>371</v>
      </c>
      <c r="B23" s="62"/>
      <c r="C23" s="62"/>
      <c r="D23" s="62"/>
      <c r="E23" s="7">
        <f>SUM(B23:D23)</f>
        <v>0</v>
      </c>
    </row>
    <row r="24" spans="1:5" x14ac:dyDescent="0.25">
      <c r="A24" s="90" t="s">
        <v>370</v>
      </c>
      <c r="B24" s="62"/>
      <c r="C24" s="62"/>
      <c r="D24" s="62"/>
      <c r="E24" s="7">
        <f t="shared" ref="E24:E40" si="1">SUM(B24:D24)</f>
        <v>0</v>
      </c>
    </row>
    <row r="25" spans="1:5" x14ac:dyDescent="0.25">
      <c r="A25" s="90" t="s">
        <v>31</v>
      </c>
      <c r="B25" s="62"/>
      <c r="C25" s="62"/>
      <c r="D25" s="21">
        <v>40127.230000000003</v>
      </c>
      <c r="E25" s="7">
        <f t="shared" si="1"/>
        <v>40127.230000000003</v>
      </c>
    </row>
    <row r="26" spans="1:5" x14ac:dyDescent="0.25">
      <c r="A26" s="90" t="s">
        <v>334</v>
      </c>
      <c r="B26" s="62"/>
      <c r="C26" s="62"/>
      <c r="D26" s="62"/>
      <c r="E26" s="7">
        <f t="shared" si="1"/>
        <v>0</v>
      </c>
    </row>
    <row r="27" spans="1:5" x14ac:dyDescent="0.25">
      <c r="A27" s="90" t="s">
        <v>335</v>
      </c>
      <c r="B27" s="62"/>
      <c r="C27" s="62"/>
      <c r="D27" s="62"/>
      <c r="E27" s="7">
        <f t="shared" si="1"/>
        <v>0</v>
      </c>
    </row>
    <row r="28" spans="1:5" x14ac:dyDescent="0.25">
      <c r="A28" s="90" t="s">
        <v>336</v>
      </c>
      <c r="B28" s="62"/>
      <c r="C28" s="62"/>
      <c r="D28" s="62"/>
      <c r="E28" s="7">
        <f t="shared" si="1"/>
        <v>0</v>
      </c>
    </row>
    <row r="29" spans="1:5" x14ac:dyDescent="0.25">
      <c r="A29" s="90" t="s">
        <v>337</v>
      </c>
      <c r="B29" s="62"/>
      <c r="C29" s="62"/>
      <c r="D29" s="62"/>
      <c r="E29" s="7">
        <f t="shared" si="1"/>
        <v>0</v>
      </c>
    </row>
    <row r="30" spans="1:5" x14ac:dyDescent="0.25">
      <c r="A30" s="90" t="s">
        <v>338</v>
      </c>
      <c r="B30" s="62"/>
      <c r="C30" s="62"/>
      <c r="D30" s="62"/>
      <c r="E30" s="7">
        <f t="shared" si="1"/>
        <v>0</v>
      </c>
    </row>
    <row r="31" spans="1:5" x14ac:dyDescent="0.25">
      <c r="A31" s="90" t="s">
        <v>363</v>
      </c>
      <c r="B31" s="62"/>
      <c r="C31" s="62"/>
      <c r="D31" s="62"/>
      <c r="E31" s="7">
        <f t="shared" si="1"/>
        <v>0</v>
      </c>
    </row>
    <row r="32" spans="1:5" x14ac:dyDescent="0.25">
      <c r="A32" s="90" t="s">
        <v>340</v>
      </c>
      <c r="B32" s="21">
        <v>5683.21</v>
      </c>
      <c r="C32" s="21">
        <v>119014.38</v>
      </c>
      <c r="D32" s="62"/>
      <c r="E32" s="7">
        <f t="shared" si="1"/>
        <v>124697.59000000001</v>
      </c>
    </row>
    <row r="33" spans="1:5" x14ac:dyDescent="0.25">
      <c r="A33" s="90" t="s">
        <v>364</v>
      </c>
      <c r="B33" s="62"/>
      <c r="C33" s="62"/>
      <c r="D33" s="62"/>
      <c r="E33" s="7">
        <f t="shared" si="1"/>
        <v>0</v>
      </c>
    </row>
    <row r="34" spans="1:5" x14ac:dyDescent="0.25">
      <c r="A34" s="90" t="s">
        <v>365</v>
      </c>
      <c r="B34" s="62"/>
      <c r="C34" s="62"/>
      <c r="D34" s="62"/>
      <c r="E34" s="7">
        <f t="shared" si="1"/>
        <v>0</v>
      </c>
    </row>
    <row r="35" spans="1:5" x14ac:dyDescent="0.25">
      <c r="A35" s="91" t="s">
        <v>366</v>
      </c>
      <c r="B35" s="62"/>
      <c r="C35" s="62"/>
      <c r="D35" s="62"/>
      <c r="E35" s="7">
        <f t="shared" si="1"/>
        <v>0</v>
      </c>
    </row>
    <row r="36" spans="1:5" x14ac:dyDescent="0.25">
      <c r="A36" s="90" t="s">
        <v>372</v>
      </c>
      <c r="B36" s="62"/>
      <c r="C36" s="62"/>
      <c r="D36" s="62"/>
      <c r="E36" s="7">
        <f t="shared" si="1"/>
        <v>0</v>
      </c>
    </row>
    <row r="37" spans="1:5" x14ac:dyDescent="0.25">
      <c r="A37" s="90" t="s">
        <v>367</v>
      </c>
      <c r="B37" s="62"/>
      <c r="C37" s="62"/>
      <c r="D37" s="62"/>
      <c r="E37" s="7">
        <f t="shared" si="1"/>
        <v>0</v>
      </c>
    </row>
    <row r="38" spans="1:5" x14ac:dyDescent="0.25">
      <c r="A38" s="90" t="s">
        <v>368</v>
      </c>
      <c r="B38" s="62"/>
      <c r="C38" s="62"/>
      <c r="D38" s="62"/>
      <c r="E38" s="7">
        <f t="shared" si="1"/>
        <v>0</v>
      </c>
    </row>
    <row r="39" spans="1:5" x14ac:dyDescent="0.25">
      <c r="A39" s="90" t="s">
        <v>369</v>
      </c>
      <c r="B39" s="62"/>
      <c r="C39" s="62"/>
      <c r="D39" s="62"/>
      <c r="E39" s="7">
        <f t="shared" si="1"/>
        <v>0</v>
      </c>
    </row>
    <row r="40" spans="1:5" x14ac:dyDescent="0.25">
      <c r="A40" s="91" t="s">
        <v>17</v>
      </c>
      <c r="B40" s="62"/>
      <c r="C40" s="62"/>
      <c r="D40" s="62"/>
      <c r="E40" s="7">
        <f t="shared" si="1"/>
        <v>0</v>
      </c>
    </row>
    <row r="41" spans="1:5" x14ac:dyDescent="0.25">
      <c r="A41" s="2" t="s">
        <v>18</v>
      </c>
      <c r="B41" s="6">
        <f>SUM(B23:B40)</f>
        <v>5683.21</v>
      </c>
      <c r="C41" s="6">
        <f>SUM(C23:C40)</f>
        <v>119014.38</v>
      </c>
      <c r="D41" s="6">
        <f>SUM(D23:D40)</f>
        <v>40127.230000000003</v>
      </c>
      <c r="E41" s="7">
        <f>SUM(B41:D41)</f>
        <v>164824.82</v>
      </c>
    </row>
    <row r="42" spans="1:5" x14ac:dyDescent="0.25">
      <c r="E42" s="7"/>
    </row>
    <row r="43" spans="1:5" x14ac:dyDescent="0.25">
      <c r="A43" s="2" t="s">
        <v>19</v>
      </c>
      <c r="B43" s="6">
        <f>B20+B41</f>
        <v>5683.21</v>
      </c>
      <c r="C43" s="6">
        <f>C20+C41</f>
        <v>119014.38</v>
      </c>
      <c r="D43" s="6">
        <f>D20+D41</f>
        <v>40127.230000000003</v>
      </c>
      <c r="E43" s="7">
        <f>SUM(B43:D43)</f>
        <v>164824.82</v>
      </c>
    </row>
    <row r="44" spans="1:5" x14ac:dyDescent="0.25">
      <c r="B44" s="55" t="str">
        <f>IF(B13=B43,"YES","NO")</f>
        <v>YES</v>
      </c>
      <c r="C44" s="55" t="str">
        <f>IF(C13=C43,"YES","NO")</f>
        <v>YES</v>
      </c>
      <c r="D44" s="55" t="str">
        <f>IF(D13=D43,"YES","NO")</f>
        <v>YES</v>
      </c>
      <c r="E44" s="55" t="str">
        <f>IF(E13=E43,"YES","NO")</f>
        <v>YES</v>
      </c>
    </row>
    <row r="45" spans="1:5" x14ac:dyDescent="0.25">
      <c r="A45" s="3" t="s">
        <v>20</v>
      </c>
      <c r="E45" s="7"/>
    </row>
    <row r="46" spans="1:5" x14ac:dyDescent="0.25">
      <c r="A46" s="4" t="s">
        <v>21</v>
      </c>
      <c r="B46" s="21"/>
      <c r="C46" s="21"/>
      <c r="D46" s="21"/>
      <c r="E46" s="7">
        <f>SUM(B46:D46)</f>
        <v>0</v>
      </c>
    </row>
    <row r="47" spans="1:5" x14ac:dyDescent="0.25">
      <c r="A47" s="4" t="s">
        <v>22</v>
      </c>
      <c r="B47" s="21"/>
      <c r="C47" s="21"/>
      <c r="D47" s="21"/>
      <c r="E47" s="7">
        <f>SUM(B47:D47)</f>
        <v>0</v>
      </c>
    </row>
    <row r="48" spans="1:5" x14ac:dyDescent="0.25">
      <c r="A48" s="4" t="s">
        <v>23</v>
      </c>
      <c r="B48" s="21">
        <v>13.49</v>
      </c>
      <c r="C48" s="21">
        <v>11251.31</v>
      </c>
      <c r="D48" s="21">
        <v>88.28</v>
      </c>
      <c r="E48" s="7">
        <f>SUM(B48:D48)</f>
        <v>11353.08</v>
      </c>
    </row>
    <row r="49" spans="1:5" x14ac:dyDescent="0.25">
      <c r="A49" s="4" t="s">
        <v>24</v>
      </c>
      <c r="B49" s="21"/>
      <c r="C49" s="21"/>
      <c r="D49" s="21"/>
      <c r="E49" s="7">
        <f>SUM(B49:D49)</f>
        <v>0</v>
      </c>
    </row>
    <row r="50" spans="1:5" x14ac:dyDescent="0.25">
      <c r="A50" s="2" t="s">
        <v>25</v>
      </c>
      <c r="B50" s="6">
        <f>SUM(B46:B49)</f>
        <v>13.49</v>
      </c>
      <c r="C50" s="6">
        <f>SUM(C46:C49)</f>
        <v>11251.31</v>
      </c>
      <c r="D50" s="6">
        <f>SUM(D46:D49)</f>
        <v>88.28</v>
      </c>
      <c r="E50" s="7">
        <f>SUM(B50:D50)</f>
        <v>11353.08</v>
      </c>
    </row>
    <row r="51" spans="1:5" x14ac:dyDescent="0.25">
      <c r="E51" s="7"/>
    </row>
    <row r="52" spans="1:5" x14ac:dyDescent="0.25">
      <c r="A52" s="3" t="s">
        <v>26</v>
      </c>
      <c r="E52" s="7"/>
    </row>
    <row r="53" spans="1:5" x14ac:dyDescent="0.25">
      <c r="A53" s="4" t="s">
        <v>27</v>
      </c>
      <c r="B53" s="21"/>
      <c r="C53" s="21"/>
      <c r="D53" s="21"/>
      <c r="E53" s="7">
        <f t="shared" ref="E53:E59" si="2">SUM(B53:D53)</f>
        <v>0</v>
      </c>
    </row>
    <row r="54" spans="1:5" x14ac:dyDescent="0.25">
      <c r="A54" s="4" t="s">
        <v>28</v>
      </c>
      <c r="B54" s="21"/>
      <c r="C54" s="21"/>
      <c r="D54" s="21"/>
      <c r="E54" s="7">
        <f t="shared" si="2"/>
        <v>0</v>
      </c>
    </row>
    <row r="55" spans="1:5" x14ac:dyDescent="0.25">
      <c r="A55" s="4" t="s">
        <v>29</v>
      </c>
      <c r="B55" s="21"/>
      <c r="C55" s="21"/>
      <c r="D55" s="21"/>
      <c r="E55" s="7">
        <f t="shared" si="2"/>
        <v>0</v>
      </c>
    </row>
    <row r="56" spans="1:5" x14ac:dyDescent="0.25">
      <c r="A56" s="4" t="s">
        <v>30</v>
      </c>
      <c r="B56" s="21"/>
      <c r="C56" s="21"/>
      <c r="D56" s="21"/>
      <c r="E56" s="7">
        <f t="shared" si="2"/>
        <v>0</v>
      </c>
    </row>
    <row r="57" spans="1:5" x14ac:dyDescent="0.25">
      <c r="A57" s="4" t="s">
        <v>31</v>
      </c>
      <c r="B57" s="21"/>
      <c r="C57" s="21"/>
      <c r="D57" s="21">
        <v>57.27</v>
      </c>
      <c r="E57" s="7">
        <f t="shared" si="2"/>
        <v>57.27</v>
      </c>
    </row>
    <row r="58" spans="1:5" x14ac:dyDescent="0.25">
      <c r="A58" s="4" t="s">
        <v>62</v>
      </c>
      <c r="B58" s="21"/>
      <c r="C58" s="21"/>
      <c r="D58" s="21"/>
      <c r="E58" s="7">
        <f t="shared" si="2"/>
        <v>0</v>
      </c>
    </row>
    <row r="59" spans="1:5" x14ac:dyDescent="0.25">
      <c r="A59" s="2" t="s">
        <v>32</v>
      </c>
      <c r="B59" s="6">
        <f>SUM(B53:B58)</f>
        <v>0</v>
      </c>
      <c r="C59" s="6">
        <f>SUM(C53:C58)</f>
        <v>0</v>
      </c>
      <c r="D59" s="6">
        <f>SUM(D53:D58)</f>
        <v>57.27</v>
      </c>
      <c r="E59" s="7">
        <f t="shared" si="2"/>
        <v>57.27</v>
      </c>
    </row>
    <row r="60" spans="1:5" x14ac:dyDescent="0.25">
      <c r="E60" s="7"/>
    </row>
    <row r="61" spans="1:5" x14ac:dyDescent="0.25">
      <c r="A61" s="2" t="s">
        <v>33</v>
      </c>
      <c r="B61" s="6">
        <f>B50-B59</f>
        <v>13.49</v>
      </c>
      <c r="C61" s="6">
        <f>C50-C59</f>
        <v>11251.31</v>
      </c>
      <c r="D61" s="6">
        <f>D50-D59</f>
        <v>31.009999999999998</v>
      </c>
      <c r="E61" s="7">
        <f>SUM(B61:D61)</f>
        <v>11295.81</v>
      </c>
    </row>
    <row r="62" spans="1:5" x14ac:dyDescent="0.25">
      <c r="E62" s="7"/>
    </row>
    <row r="63" spans="1:5" x14ac:dyDescent="0.25">
      <c r="A63" t="s">
        <v>301</v>
      </c>
      <c r="B63" s="21"/>
      <c r="C63" s="21"/>
      <c r="D63" s="21"/>
      <c r="E63" s="7">
        <f>B63+C63+D63</f>
        <v>0</v>
      </c>
    </row>
    <row r="64" spans="1:5" x14ac:dyDescent="0.25">
      <c r="A64" t="s">
        <v>34</v>
      </c>
      <c r="B64" s="21"/>
      <c r="C64" s="21"/>
      <c r="D64" s="21"/>
      <c r="E64" s="7">
        <f>B64+C64+D64</f>
        <v>0</v>
      </c>
    </row>
    <row r="65" spans="1:5" x14ac:dyDescent="0.25">
      <c r="A65" t="s">
        <v>35</v>
      </c>
      <c r="B65" s="21"/>
      <c r="C65" s="21"/>
      <c r="D65" s="21"/>
      <c r="E65" s="7">
        <f>B65+C65+D65</f>
        <v>0</v>
      </c>
    </row>
    <row r="66" spans="1:5" x14ac:dyDescent="0.25">
      <c r="A66" s="2" t="s">
        <v>36</v>
      </c>
      <c r="B66" s="6">
        <f>B63+B64-B65</f>
        <v>0</v>
      </c>
      <c r="C66" s="6">
        <f>C63+C64-C65</f>
        <v>0</v>
      </c>
      <c r="D66" s="6">
        <f>D63+D64-D65</f>
        <v>0</v>
      </c>
      <c r="E66" s="7">
        <f>B66+C66+D66</f>
        <v>0</v>
      </c>
    </row>
    <row r="67" spans="1:5" x14ac:dyDescent="0.25">
      <c r="E67" s="7"/>
    </row>
    <row r="68" spans="1:5" x14ac:dyDescent="0.25">
      <c r="A68" s="2" t="s">
        <v>37</v>
      </c>
      <c r="B68" s="6">
        <f>B61+B66</f>
        <v>13.49</v>
      </c>
      <c r="C68" s="6">
        <f>C61+C66</f>
        <v>11251.31</v>
      </c>
      <c r="D68" s="6">
        <f>D61+D66</f>
        <v>31.009999999999998</v>
      </c>
      <c r="E68" s="7">
        <f>SUM(B68:D68)</f>
        <v>11295.81</v>
      </c>
    </row>
    <row r="69" spans="1:5" x14ac:dyDescent="0.25">
      <c r="A69" t="s">
        <v>38</v>
      </c>
      <c r="B69" s="6">
        <f>B70-B68</f>
        <v>5669.72</v>
      </c>
      <c r="C69" s="6">
        <f>C70-C68</f>
        <v>107763.07</v>
      </c>
      <c r="D69" s="6">
        <f>D70-D68</f>
        <v>40096.22</v>
      </c>
      <c r="E69" s="7">
        <f>SUM(B69:D69)</f>
        <v>153529.01</v>
      </c>
    </row>
    <row r="70" spans="1:5" x14ac:dyDescent="0.25">
      <c r="A70" s="2" t="s">
        <v>39</v>
      </c>
      <c r="B70" s="6">
        <f>B41</f>
        <v>5683.21</v>
      </c>
      <c r="C70" s="6">
        <f>C41</f>
        <v>119014.38</v>
      </c>
      <c r="D70" s="6">
        <f>D41</f>
        <v>40127.230000000003</v>
      </c>
      <c r="E70" s="7">
        <f>SUM(B70:D70)</f>
        <v>164824.82</v>
      </c>
    </row>
    <row r="71" spans="1:5" x14ac:dyDescent="0.25">
      <c r="E71" s="7"/>
    </row>
    <row r="72" spans="1:5" x14ac:dyDescent="0.25">
      <c r="E72" s="7"/>
    </row>
  </sheetData>
  <customSheetViews>
    <customSheetView guid="{E68B3865-8D72-47E7-BE32-0FF7EB09E889}" fitToPage="1" topLeftCell="A49">
      <selection activeCell="A4" sqref="A4"/>
      <pageMargins left="0.7" right="0.7" top="0.75" bottom="0.75" header="0.3" footer="0.3"/>
      <pageSetup scale="83" orientation="portrait" horizontalDpi="1200" r:id="rId1"/>
    </customSheetView>
    <customSheetView guid="{2B2709E2-6DF4-4CC4-88D0-056FB306137C}" fitToPage="1">
      <selection activeCell="D48" sqref="D48"/>
      <pageMargins left="0.7" right="0.7" top="0.75" bottom="0.75" header="0.3" footer="0.3"/>
      <pageSetup scale="83" orientation="portrait" horizontalDpi="1200" r:id="rId2"/>
    </customSheetView>
    <customSheetView guid="{EC03C3C8-7E57-47C6-8413-F484E8C46A0C}" showPageBreaks="1" fitToPage="1" topLeftCell="A33">
      <selection activeCell="D33" sqref="D33"/>
      <pageMargins left="0.7" right="0.7" top="0.75" bottom="0.75" header="0.3" footer="0.3"/>
      <pageSetup scale="81" orientation="portrait" horizontalDpi="1200" r:id="rId3"/>
    </customSheetView>
    <customSheetView guid="{D62C3EC3-27D1-41F3-9A4E-06307CA202CE}" showPageBreaks="1" fitToPage="1" showRuler="0" topLeftCell="A13">
      <selection activeCell="F33" sqref="F33"/>
      <pageMargins left="0.7" right="0.7" top="0.75" bottom="0.75" header="0.3" footer="0.3"/>
      <pageSetup scale="83" orientation="portrait" horizontalDpi="1200" r:id="rId4"/>
      <headerFooter alignWithMargins="0"/>
    </customSheetView>
    <customSheetView guid="{A6F79E61-D6A3-44FD-B4A4-4724DF74349B}" showPageBreaks="1" fitToPage="1">
      <selection activeCell="D10" sqref="D10"/>
      <pageMargins left="0.7" right="0.7" top="0.75" bottom="0.75" header="0.3" footer="0.3"/>
      <pageSetup scale="64" orientation="portrait" horizontalDpi="1200" r:id="rId5"/>
    </customSheetView>
    <customSheetView guid="{DE6E911D-85BF-467A-AA00-1E84C5349CF7}" showPageBreaks="1" fitToPage="1" topLeftCell="A19">
      <selection activeCell="I37" sqref="I37"/>
      <pageMargins left="0" right="0" top="0" bottom="0" header="0" footer="0"/>
      <pageSetup scale="73" orientation="portrait" horizontalDpi="1200" r:id="rId6"/>
    </customSheetView>
  </customSheetViews>
  <phoneticPr fontId="0" type="noConversion"/>
  <pageMargins left="0.7" right="0.7" top="0.75" bottom="0.75" header="0.3" footer="0.3"/>
  <pageSetup scale="83" orientation="portrait" horizontalDpi="1200" r:id="rId7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0"/>
  <sheetViews>
    <sheetView workbookViewId="0">
      <pane xSplit="1" ySplit="5" topLeftCell="B57" activePane="bottomRight" state="frozen"/>
      <selection pane="topRight" activeCell="B1" sqref="B1"/>
      <selection pane="bottomLeft" activeCell="A6" sqref="A6"/>
      <selection pane="bottomRight" activeCell="A4" sqref="A4"/>
    </sheetView>
  </sheetViews>
  <sheetFormatPr defaultRowHeight="15" outlineLevelCol="1" x14ac:dyDescent="0.25"/>
  <cols>
    <col min="1" max="1" width="31" customWidth="1"/>
    <col min="2" max="4" width="13.85546875" style="6" customWidth="1"/>
    <col min="5" max="5" width="13.5703125" style="6" customWidth="1" outlineLevel="1"/>
    <col min="6" max="6" width="13.5703125" style="6" bestFit="1" customWidth="1" outlineLevel="1"/>
    <col min="7" max="8" width="13.5703125" style="6" bestFit="1" customWidth="1"/>
    <col min="9" max="10" width="11.85546875" style="6" customWidth="1"/>
    <col min="11" max="11" width="14" style="6" customWidth="1"/>
    <col min="12" max="13" width="11.140625" style="6" bestFit="1" customWidth="1"/>
    <col min="14" max="14" width="9.140625" style="6"/>
    <col min="15" max="15" width="13.5703125" style="6" bestFit="1" customWidth="1"/>
    <col min="16" max="16" width="12.7109375" bestFit="1" customWidth="1"/>
  </cols>
  <sheetData>
    <row r="1" spans="1:15" ht="23.25" x14ac:dyDescent="0.35">
      <c r="A1" s="8" t="s">
        <v>89</v>
      </c>
    </row>
    <row r="2" spans="1:15" x14ac:dyDescent="0.25">
      <c r="A2" t="s">
        <v>1</v>
      </c>
    </row>
    <row r="3" spans="1:15" x14ac:dyDescent="0.25">
      <c r="A3" s="1">
        <v>43435</v>
      </c>
    </row>
    <row r="4" spans="1:15" x14ac:dyDescent="0.25">
      <c r="A4" s="1"/>
    </row>
    <row r="5" spans="1:15" ht="30" x14ac:dyDescent="0.25">
      <c r="A5" s="1"/>
      <c r="B5" s="7" t="s">
        <v>66</v>
      </c>
      <c r="C5" s="7" t="s">
        <v>47</v>
      </c>
      <c r="D5" s="7" t="s">
        <v>309</v>
      </c>
      <c r="E5" s="7" t="s">
        <v>67</v>
      </c>
      <c r="F5" s="7" t="s">
        <v>47</v>
      </c>
      <c r="G5" s="7" t="s">
        <v>90</v>
      </c>
      <c r="H5" s="7" t="s">
        <v>193</v>
      </c>
      <c r="I5" s="7"/>
      <c r="J5" s="7"/>
      <c r="K5" s="7"/>
      <c r="L5" s="7"/>
      <c r="M5" s="7"/>
      <c r="N5" s="7"/>
      <c r="O5" s="7"/>
    </row>
    <row r="6" spans="1:15" x14ac:dyDescent="0.25">
      <c r="H6" s="7"/>
    </row>
    <row r="7" spans="1:15" x14ac:dyDescent="0.25">
      <c r="A7" s="3" t="s">
        <v>2</v>
      </c>
      <c r="H7" s="7"/>
    </row>
    <row r="8" spans="1:15" x14ac:dyDescent="0.25">
      <c r="A8" s="4" t="s">
        <v>3</v>
      </c>
      <c r="B8" s="21">
        <v>86554.66</v>
      </c>
      <c r="C8" s="21"/>
      <c r="D8" s="25">
        <f>B8+C8</f>
        <v>86554.66</v>
      </c>
      <c r="E8" s="63">
        <v>103705.66</v>
      </c>
      <c r="F8" s="21"/>
      <c r="G8" s="55">
        <f>E8+F8</f>
        <v>103705.66</v>
      </c>
      <c r="H8" s="7">
        <f t="shared" ref="H8:H13" si="0">D8+G8</f>
        <v>190260.32</v>
      </c>
    </row>
    <row r="9" spans="1:15" x14ac:dyDescent="0.25">
      <c r="A9" s="4" t="s">
        <v>4</v>
      </c>
      <c r="B9" s="21"/>
      <c r="C9" s="21"/>
      <c r="D9" s="25">
        <f t="shared" ref="D9:D13" si="1">B9+C9</f>
        <v>0</v>
      </c>
      <c r="E9" s="63">
        <v>236497.15</v>
      </c>
      <c r="F9" s="21"/>
      <c r="G9" s="6">
        <f t="shared" ref="G9:G70" si="2">E9+F9</f>
        <v>236497.15</v>
      </c>
      <c r="H9" s="7">
        <f t="shared" si="0"/>
        <v>236497.15</v>
      </c>
    </row>
    <row r="10" spans="1:15" x14ac:dyDescent="0.25">
      <c r="A10" s="4" t="s">
        <v>6</v>
      </c>
      <c r="B10" s="21"/>
      <c r="C10" s="21"/>
      <c r="D10" s="25">
        <f t="shared" si="1"/>
        <v>0</v>
      </c>
      <c r="E10" s="63"/>
      <c r="F10" s="21"/>
      <c r="G10" s="6">
        <f t="shared" si="2"/>
        <v>0</v>
      </c>
      <c r="H10" s="7">
        <f t="shared" si="0"/>
        <v>0</v>
      </c>
    </row>
    <row r="11" spans="1:15" x14ac:dyDescent="0.25">
      <c r="A11" s="4" t="s">
        <v>5</v>
      </c>
      <c r="B11" s="21"/>
      <c r="C11" s="21"/>
      <c r="D11" s="25">
        <f t="shared" si="1"/>
        <v>0</v>
      </c>
      <c r="E11" s="63"/>
      <c r="F11" s="21"/>
      <c r="G11" s="6">
        <f t="shared" si="2"/>
        <v>0</v>
      </c>
      <c r="H11" s="7">
        <f t="shared" si="0"/>
        <v>0</v>
      </c>
    </row>
    <row r="12" spans="1:15" x14ac:dyDescent="0.25">
      <c r="A12" s="4" t="s">
        <v>61</v>
      </c>
      <c r="B12" s="21"/>
      <c r="C12" s="21"/>
      <c r="D12" s="25">
        <f t="shared" si="1"/>
        <v>0</v>
      </c>
      <c r="E12" s="63"/>
      <c r="F12" s="21"/>
      <c r="G12" s="6">
        <f t="shared" si="2"/>
        <v>0</v>
      </c>
      <c r="H12" s="7">
        <f t="shared" si="0"/>
        <v>0</v>
      </c>
    </row>
    <row r="13" spans="1:15" x14ac:dyDescent="0.25">
      <c r="A13" s="2" t="s">
        <v>7</v>
      </c>
      <c r="B13" s="6">
        <f>SUM(B8:B12)</f>
        <v>86554.66</v>
      </c>
      <c r="C13" s="6">
        <f>SUM(C8:C12)</f>
        <v>0</v>
      </c>
      <c r="D13" s="25">
        <f t="shared" si="1"/>
        <v>86554.66</v>
      </c>
      <c r="E13" s="6">
        <f>SUM(E8:E12)</f>
        <v>340202.81</v>
      </c>
      <c r="F13" s="6">
        <f>SUM(F8:F12)</f>
        <v>0</v>
      </c>
      <c r="G13" s="6">
        <f t="shared" si="2"/>
        <v>340202.81</v>
      </c>
      <c r="H13" s="7">
        <f t="shared" si="0"/>
        <v>426757.47</v>
      </c>
    </row>
    <row r="14" spans="1:15" x14ac:dyDescent="0.25">
      <c r="D14" s="25"/>
      <c r="H14" s="7"/>
    </row>
    <row r="15" spans="1:15" x14ac:dyDescent="0.25">
      <c r="A15" s="3" t="s">
        <v>8</v>
      </c>
      <c r="D15" s="25"/>
      <c r="H15" s="7"/>
    </row>
    <row r="16" spans="1:15" x14ac:dyDescent="0.25">
      <c r="A16" s="4" t="s">
        <v>9</v>
      </c>
      <c r="B16" s="21">
        <v>38098.370000000003</v>
      </c>
      <c r="C16" s="21"/>
      <c r="D16" s="25">
        <f>B16+C16</f>
        <v>38098.370000000003</v>
      </c>
      <c r="E16" s="63"/>
      <c r="F16" s="21"/>
      <c r="G16" s="6">
        <f t="shared" si="2"/>
        <v>0</v>
      </c>
      <c r="H16" s="7">
        <f>D16+G16</f>
        <v>38098.370000000003</v>
      </c>
    </row>
    <row r="17" spans="1:8" x14ac:dyDescent="0.25">
      <c r="A17" s="4" t="s">
        <v>10</v>
      </c>
      <c r="B17" s="21">
        <v>21763.77</v>
      </c>
      <c r="C17" s="21"/>
      <c r="D17" s="25">
        <f>B17+C17</f>
        <v>21763.77</v>
      </c>
      <c r="E17" s="63"/>
      <c r="F17" s="21"/>
      <c r="G17" s="6">
        <f t="shared" si="2"/>
        <v>0</v>
      </c>
      <c r="H17" s="7">
        <f t="shared" ref="H17:H20" si="3">D17+G17</f>
        <v>21763.77</v>
      </c>
    </row>
    <row r="18" spans="1:8" x14ac:dyDescent="0.25">
      <c r="A18" s="4" t="s">
        <v>190</v>
      </c>
      <c r="B18" s="21"/>
      <c r="C18" s="21"/>
      <c r="D18" s="25">
        <f t="shared" ref="D18:D19" si="4">B18+C18</f>
        <v>0</v>
      </c>
      <c r="E18" s="63"/>
      <c r="F18" s="21"/>
      <c r="G18" s="6">
        <f t="shared" si="2"/>
        <v>0</v>
      </c>
      <c r="H18" s="7">
        <f t="shared" si="3"/>
        <v>0</v>
      </c>
    </row>
    <row r="19" spans="1:8" x14ac:dyDescent="0.25">
      <c r="A19" s="4" t="s">
        <v>12</v>
      </c>
      <c r="B19" s="21"/>
      <c r="C19" s="21"/>
      <c r="D19" s="25">
        <f t="shared" si="4"/>
        <v>0</v>
      </c>
      <c r="E19" s="63">
        <v>340202.81</v>
      </c>
      <c r="F19" s="21"/>
      <c r="G19" s="6">
        <f t="shared" si="2"/>
        <v>340202.81</v>
      </c>
      <c r="H19" s="7">
        <f t="shared" si="3"/>
        <v>340202.81</v>
      </c>
    </row>
    <row r="20" spans="1:8" x14ac:dyDescent="0.25">
      <c r="A20" s="2" t="s">
        <v>13</v>
      </c>
      <c r="B20" s="6">
        <f>SUM(B16:B19)</f>
        <v>59862.14</v>
      </c>
      <c r="C20" s="6">
        <f>SUM(C16:C19)</f>
        <v>0</v>
      </c>
      <c r="D20" s="6">
        <f>SUM(D16:D19)</f>
        <v>59862.14</v>
      </c>
      <c r="E20" s="6">
        <f>SUM(E16:E19)</f>
        <v>340202.81</v>
      </c>
      <c r="F20" s="6">
        <f>SUM(F16:F19)</f>
        <v>0</v>
      </c>
      <c r="G20" s="6">
        <f t="shared" si="2"/>
        <v>340202.81</v>
      </c>
      <c r="H20" s="7">
        <f t="shared" si="3"/>
        <v>400064.95</v>
      </c>
    </row>
    <row r="21" spans="1:8" x14ac:dyDescent="0.25">
      <c r="D21" s="25"/>
      <c r="H21" s="7"/>
    </row>
    <row r="22" spans="1:8" x14ac:dyDescent="0.25">
      <c r="A22" s="3" t="s">
        <v>14</v>
      </c>
      <c r="D22" s="25"/>
      <c r="H22" s="7"/>
    </row>
    <row r="23" spans="1:8" x14ac:dyDescent="0.25">
      <c r="A23" s="91" t="s">
        <v>371</v>
      </c>
      <c r="B23" s="93"/>
      <c r="C23" s="93"/>
      <c r="D23" s="64">
        <f>B23+C23</f>
        <v>0</v>
      </c>
      <c r="E23" s="89"/>
      <c r="F23" s="62"/>
      <c r="G23" s="6">
        <f t="shared" si="2"/>
        <v>0</v>
      </c>
      <c r="H23" s="7">
        <f>D23+G23</f>
        <v>0</v>
      </c>
    </row>
    <row r="24" spans="1:8" x14ac:dyDescent="0.25">
      <c r="A24" s="90" t="s">
        <v>370</v>
      </c>
      <c r="B24" s="93"/>
      <c r="C24" s="93"/>
      <c r="D24" s="64">
        <f t="shared" ref="D24:D40" si="5">B24+C24</f>
        <v>0</v>
      </c>
      <c r="E24" s="89"/>
      <c r="F24" s="62"/>
      <c r="G24" s="6">
        <f t="shared" si="2"/>
        <v>0</v>
      </c>
      <c r="H24" s="7">
        <f t="shared" ref="H24:H40" si="6">D24+G24</f>
        <v>0</v>
      </c>
    </row>
    <row r="25" spans="1:8" x14ac:dyDescent="0.25">
      <c r="A25" s="90" t="s">
        <v>31</v>
      </c>
      <c r="B25" s="93"/>
      <c r="C25" s="93"/>
      <c r="D25" s="64">
        <f t="shared" si="5"/>
        <v>0</v>
      </c>
      <c r="E25" s="89"/>
      <c r="F25" s="62"/>
      <c r="G25" s="6">
        <f t="shared" si="2"/>
        <v>0</v>
      </c>
      <c r="H25" s="7">
        <f t="shared" si="6"/>
        <v>0</v>
      </c>
    </row>
    <row r="26" spans="1:8" x14ac:dyDescent="0.25">
      <c r="A26" s="90" t="s">
        <v>334</v>
      </c>
      <c r="B26" s="93"/>
      <c r="C26" s="93"/>
      <c r="D26" s="64">
        <f t="shared" si="5"/>
        <v>0</v>
      </c>
      <c r="E26" s="89"/>
      <c r="F26" s="62"/>
      <c r="G26" s="6">
        <f t="shared" si="2"/>
        <v>0</v>
      </c>
      <c r="H26" s="7">
        <f t="shared" si="6"/>
        <v>0</v>
      </c>
    </row>
    <row r="27" spans="1:8" x14ac:dyDescent="0.25">
      <c r="A27" s="90" t="s">
        <v>335</v>
      </c>
      <c r="B27" s="93"/>
      <c r="C27" s="93"/>
      <c r="D27" s="64">
        <f t="shared" si="5"/>
        <v>0</v>
      </c>
      <c r="E27" s="89"/>
      <c r="F27" s="62"/>
      <c r="G27" s="6">
        <f t="shared" si="2"/>
        <v>0</v>
      </c>
      <c r="H27" s="7">
        <f t="shared" si="6"/>
        <v>0</v>
      </c>
    </row>
    <row r="28" spans="1:8" x14ac:dyDescent="0.25">
      <c r="A28" s="90" t="s">
        <v>336</v>
      </c>
      <c r="B28" s="93"/>
      <c r="C28" s="93"/>
      <c r="D28" s="64">
        <f t="shared" si="5"/>
        <v>0</v>
      </c>
      <c r="E28" s="89"/>
      <c r="F28" s="62"/>
      <c r="G28" s="6">
        <f t="shared" si="2"/>
        <v>0</v>
      </c>
      <c r="H28" s="7">
        <f t="shared" si="6"/>
        <v>0</v>
      </c>
    </row>
    <row r="29" spans="1:8" x14ac:dyDescent="0.25">
      <c r="A29" s="90" t="s">
        <v>337</v>
      </c>
      <c r="B29" s="93"/>
      <c r="C29" s="93"/>
      <c r="D29" s="64">
        <f t="shared" si="5"/>
        <v>0</v>
      </c>
      <c r="E29" s="89"/>
      <c r="F29" s="62"/>
      <c r="G29" s="6">
        <f t="shared" si="2"/>
        <v>0</v>
      </c>
      <c r="H29" s="7">
        <f t="shared" si="6"/>
        <v>0</v>
      </c>
    </row>
    <row r="30" spans="1:8" x14ac:dyDescent="0.25">
      <c r="A30" s="90" t="s">
        <v>338</v>
      </c>
      <c r="B30" s="93"/>
      <c r="C30" s="93"/>
      <c r="D30" s="64">
        <f t="shared" si="5"/>
        <v>0</v>
      </c>
      <c r="E30" s="89"/>
      <c r="F30" s="62"/>
      <c r="G30" s="6">
        <f t="shared" si="2"/>
        <v>0</v>
      </c>
      <c r="H30" s="7">
        <f t="shared" si="6"/>
        <v>0</v>
      </c>
    </row>
    <row r="31" spans="1:8" x14ac:dyDescent="0.25">
      <c r="A31" s="90" t="s">
        <v>363</v>
      </c>
      <c r="B31" s="93"/>
      <c r="C31" s="93"/>
      <c r="D31" s="64">
        <f t="shared" si="5"/>
        <v>0</v>
      </c>
      <c r="E31" s="89"/>
      <c r="F31" s="62"/>
      <c r="G31" s="6">
        <f t="shared" si="2"/>
        <v>0</v>
      </c>
      <c r="H31" s="7">
        <f t="shared" si="6"/>
        <v>0</v>
      </c>
    </row>
    <row r="32" spans="1:8" x14ac:dyDescent="0.25">
      <c r="A32" s="90" t="s">
        <v>340</v>
      </c>
      <c r="B32" s="93"/>
      <c r="C32" s="93"/>
      <c r="D32" s="64">
        <f t="shared" si="5"/>
        <v>0</v>
      </c>
      <c r="E32" s="89"/>
      <c r="F32" s="62"/>
      <c r="G32" s="6">
        <f t="shared" si="2"/>
        <v>0</v>
      </c>
      <c r="H32" s="7">
        <f t="shared" si="6"/>
        <v>0</v>
      </c>
    </row>
    <row r="33" spans="1:8" x14ac:dyDescent="0.25">
      <c r="A33" s="90" t="s">
        <v>364</v>
      </c>
      <c r="B33" s="93"/>
      <c r="C33" s="93"/>
      <c r="D33" s="64">
        <f t="shared" si="5"/>
        <v>0</v>
      </c>
      <c r="E33" s="89"/>
      <c r="F33" s="62"/>
      <c r="G33" s="6">
        <f t="shared" si="2"/>
        <v>0</v>
      </c>
      <c r="H33" s="7">
        <f t="shared" si="6"/>
        <v>0</v>
      </c>
    </row>
    <row r="34" spans="1:8" x14ac:dyDescent="0.25">
      <c r="A34" s="90" t="s">
        <v>365</v>
      </c>
      <c r="B34" s="168">
        <v>26692.52</v>
      </c>
      <c r="C34" s="93"/>
      <c r="D34" s="64">
        <f t="shared" si="5"/>
        <v>26692.52</v>
      </c>
      <c r="E34" s="89"/>
      <c r="F34" s="62"/>
      <c r="G34" s="6">
        <f t="shared" si="2"/>
        <v>0</v>
      </c>
      <c r="H34" s="7">
        <f t="shared" si="6"/>
        <v>26692.52</v>
      </c>
    </row>
    <row r="35" spans="1:8" x14ac:dyDescent="0.25">
      <c r="A35" s="91" t="s">
        <v>366</v>
      </c>
      <c r="B35" s="62"/>
      <c r="C35" s="62"/>
      <c r="D35" s="64">
        <f t="shared" si="5"/>
        <v>0</v>
      </c>
      <c r="E35" s="89"/>
      <c r="F35" s="62"/>
      <c r="G35" s="6">
        <f t="shared" si="2"/>
        <v>0</v>
      </c>
      <c r="H35" s="7">
        <f t="shared" si="6"/>
        <v>0</v>
      </c>
    </row>
    <row r="36" spans="1:8" x14ac:dyDescent="0.25">
      <c r="A36" s="90" t="s">
        <v>372</v>
      </c>
      <c r="B36" s="62"/>
      <c r="C36" s="62"/>
      <c r="D36" s="64">
        <f t="shared" si="5"/>
        <v>0</v>
      </c>
      <c r="E36" s="89"/>
      <c r="F36" s="62"/>
      <c r="G36" s="6">
        <f t="shared" si="2"/>
        <v>0</v>
      </c>
      <c r="H36" s="7">
        <f t="shared" si="6"/>
        <v>0</v>
      </c>
    </row>
    <row r="37" spans="1:8" x14ac:dyDescent="0.25">
      <c r="A37" s="90" t="s">
        <v>367</v>
      </c>
      <c r="B37" s="62"/>
      <c r="C37" s="62"/>
      <c r="D37" s="64">
        <f t="shared" si="5"/>
        <v>0</v>
      </c>
      <c r="E37" s="89"/>
      <c r="F37" s="62"/>
      <c r="G37" s="6">
        <f t="shared" si="2"/>
        <v>0</v>
      </c>
      <c r="H37" s="7">
        <f t="shared" si="6"/>
        <v>0</v>
      </c>
    </row>
    <row r="38" spans="1:8" x14ac:dyDescent="0.25">
      <c r="A38" s="90" t="s">
        <v>368</v>
      </c>
      <c r="B38" s="62"/>
      <c r="C38" s="62"/>
      <c r="D38" s="64">
        <f t="shared" si="5"/>
        <v>0</v>
      </c>
      <c r="E38" s="89"/>
      <c r="F38" s="62"/>
      <c r="G38" s="6">
        <f t="shared" si="2"/>
        <v>0</v>
      </c>
      <c r="H38" s="7">
        <f t="shared" si="6"/>
        <v>0</v>
      </c>
    </row>
    <row r="39" spans="1:8" x14ac:dyDescent="0.25">
      <c r="A39" s="90" t="s">
        <v>369</v>
      </c>
      <c r="B39" s="62"/>
      <c r="C39" s="62"/>
      <c r="D39" s="64">
        <f t="shared" si="5"/>
        <v>0</v>
      </c>
      <c r="E39" s="89"/>
      <c r="F39" s="62"/>
      <c r="G39" s="6">
        <f t="shared" si="2"/>
        <v>0</v>
      </c>
      <c r="H39" s="7">
        <f t="shared" si="6"/>
        <v>0</v>
      </c>
    </row>
    <row r="40" spans="1:8" x14ac:dyDescent="0.25">
      <c r="A40" s="91" t="s">
        <v>17</v>
      </c>
      <c r="B40" s="21">
        <f>26692.52-26692.52</f>
        <v>0</v>
      </c>
      <c r="C40" s="21"/>
      <c r="D40" s="64">
        <f t="shared" si="5"/>
        <v>0</v>
      </c>
      <c r="E40" s="63"/>
      <c r="F40" s="21"/>
      <c r="G40" s="6">
        <f t="shared" si="2"/>
        <v>0</v>
      </c>
      <c r="H40" s="7">
        <f t="shared" si="6"/>
        <v>0</v>
      </c>
    </row>
    <row r="41" spans="1:8" x14ac:dyDescent="0.25">
      <c r="A41" s="2" t="s">
        <v>18</v>
      </c>
      <c r="B41" s="6">
        <f>SUM(B23:B40)</f>
        <v>26692.52</v>
      </c>
      <c r="C41" s="6">
        <f>SUM(C23:C40)</f>
        <v>0</v>
      </c>
      <c r="D41" s="64">
        <f t="shared" ref="D41" si="7">B41+C41</f>
        <v>26692.52</v>
      </c>
      <c r="E41" s="6">
        <f>SUM(E23:E40)</f>
        <v>0</v>
      </c>
      <c r="F41" s="6">
        <f>SUM(F23:F40)</f>
        <v>0</v>
      </c>
      <c r="G41" s="6">
        <f t="shared" si="2"/>
        <v>0</v>
      </c>
      <c r="H41" s="7">
        <f t="shared" ref="H41" si="8">D41+G41</f>
        <v>26692.52</v>
      </c>
    </row>
    <row r="42" spans="1:8" x14ac:dyDescent="0.25">
      <c r="D42" s="25"/>
      <c r="H42" s="7"/>
    </row>
    <row r="43" spans="1:8" x14ac:dyDescent="0.25">
      <c r="A43" s="2" t="s">
        <v>19</v>
      </c>
      <c r="B43" s="6">
        <f>B20+B41</f>
        <v>86554.66</v>
      </c>
      <c r="C43" s="6">
        <f t="shared" ref="C43:D43" si="9">C20+C41</f>
        <v>0</v>
      </c>
      <c r="D43" s="6">
        <f t="shared" si="9"/>
        <v>86554.66</v>
      </c>
      <c r="E43" s="6">
        <f>E20+E41</f>
        <v>340202.81</v>
      </c>
      <c r="F43" s="6">
        <f>F20+F41</f>
        <v>0</v>
      </c>
      <c r="G43" s="6">
        <f t="shared" si="2"/>
        <v>340202.81</v>
      </c>
      <c r="H43" s="7">
        <f>D43+G43</f>
        <v>426757.47</v>
      </c>
    </row>
    <row r="44" spans="1:8" x14ac:dyDescent="0.25">
      <c r="D44" s="25"/>
      <c r="H44" s="7"/>
    </row>
    <row r="45" spans="1:8" x14ac:dyDescent="0.25">
      <c r="A45" s="3" t="s">
        <v>20</v>
      </c>
      <c r="D45" s="25"/>
      <c r="H45" s="7"/>
    </row>
    <row r="46" spans="1:8" x14ac:dyDescent="0.25">
      <c r="A46" s="4" t="s">
        <v>21</v>
      </c>
      <c r="B46" s="21"/>
      <c r="C46" s="21"/>
      <c r="D46" s="25">
        <f>B46+C46</f>
        <v>0</v>
      </c>
      <c r="E46" s="63">
        <f>1629169.06+204227.32</f>
        <v>1833396.3800000001</v>
      </c>
      <c r="F46" s="21"/>
      <c r="G46" s="6">
        <f t="shared" si="2"/>
        <v>1833396.3800000001</v>
      </c>
      <c r="H46" s="7">
        <f>D46+G46</f>
        <v>1833396.3800000001</v>
      </c>
    </row>
    <row r="47" spans="1:8" x14ac:dyDescent="0.25">
      <c r="A47" s="4" t="s">
        <v>22</v>
      </c>
      <c r="B47" s="21">
        <v>0</v>
      </c>
      <c r="C47" s="21"/>
      <c r="D47" s="25">
        <f t="shared" ref="D47:D50" si="10">B47+C47</f>
        <v>0</v>
      </c>
      <c r="E47" s="63">
        <f>1629169.06-1629169.06</f>
        <v>0</v>
      </c>
      <c r="F47" s="21"/>
      <c r="G47" s="6">
        <f t="shared" si="2"/>
        <v>0</v>
      </c>
      <c r="H47" s="7">
        <f t="shared" ref="H47:H50" si="11">D47+G47</f>
        <v>0</v>
      </c>
    </row>
    <row r="48" spans="1:8" x14ac:dyDescent="0.25">
      <c r="A48" s="4" t="s">
        <v>23</v>
      </c>
      <c r="B48" s="21">
        <v>21.31</v>
      </c>
      <c r="C48" s="21"/>
      <c r="D48" s="25">
        <f t="shared" si="10"/>
        <v>21.31</v>
      </c>
      <c r="E48" s="63">
        <v>4099.38</v>
      </c>
      <c r="F48" s="21"/>
      <c r="G48" s="6">
        <f t="shared" si="2"/>
        <v>4099.38</v>
      </c>
      <c r="H48" s="7">
        <f t="shared" si="11"/>
        <v>4120.6900000000005</v>
      </c>
    </row>
    <row r="49" spans="1:8" x14ac:dyDescent="0.25">
      <c r="A49" s="4" t="s">
        <v>24</v>
      </c>
      <c r="B49" s="21"/>
      <c r="C49" s="21"/>
      <c r="D49" s="25">
        <f t="shared" si="10"/>
        <v>0</v>
      </c>
      <c r="E49" s="63">
        <f>204227.32-204227.32</f>
        <v>0</v>
      </c>
      <c r="F49" s="21"/>
      <c r="G49" s="6">
        <f t="shared" si="2"/>
        <v>0</v>
      </c>
      <c r="H49" s="7">
        <f t="shared" si="11"/>
        <v>0</v>
      </c>
    </row>
    <row r="50" spans="1:8" x14ac:dyDescent="0.25">
      <c r="A50" s="2" t="s">
        <v>25</v>
      </c>
      <c r="B50" s="6">
        <f>SUM(B46:B49)</f>
        <v>21.31</v>
      </c>
      <c r="C50" s="6">
        <f>SUM(C46:C49)</f>
        <v>0</v>
      </c>
      <c r="D50" s="25">
        <f t="shared" si="10"/>
        <v>21.31</v>
      </c>
      <c r="E50" s="6">
        <f>SUM(E46:E49)</f>
        <v>1837495.76</v>
      </c>
      <c r="F50" s="6">
        <f>SUM(F46:F49)</f>
        <v>0</v>
      </c>
      <c r="G50" s="6">
        <f t="shared" si="2"/>
        <v>1837495.76</v>
      </c>
      <c r="H50" s="7">
        <f t="shared" si="11"/>
        <v>1837517.07</v>
      </c>
    </row>
    <row r="51" spans="1:8" x14ac:dyDescent="0.25">
      <c r="D51" s="25"/>
      <c r="H51" s="7"/>
    </row>
    <row r="52" spans="1:8" x14ac:dyDescent="0.25">
      <c r="A52" s="3" t="s">
        <v>26</v>
      </c>
      <c r="D52" s="25"/>
      <c r="H52" s="7"/>
    </row>
    <row r="53" spans="1:8" x14ac:dyDescent="0.25">
      <c r="A53" s="4" t="s">
        <v>27</v>
      </c>
      <c r="B53" s="62"/>
      <c r="C53" s="21"/>
      <c r="D53" s="25">
        <f>B53+C53</f>
        <v>0</v>
      </c>
      <c r="E53" s="89"/>
      <c r="F53" s="21"/>
      <c r="G53" s="6">
        <f t="shared" si="2"/>
        <v>0</v>
      </c>
      <c r="H53" s="7">
        <f>D53+G53</f>
        <v>0</v>
      </c>
    </row>
    <row r="54" spans="1:8" x14ac:dyDescent="0.25">
      <c r="A54" s="4" t="s">
        <v>28</v>
      </c>
      <c r="B54" s="62"/>
      <c r="C54" s="21"/>
      <c r="D54" s="25">
        <f t="shared" ref="D54:D59" si="12">B54+C54</f>
        <v>0</v>
      </c>
      <c r="E54" s="89"/>
      <c r="F54" s="21"/>
      <c r="G54" s="6">
        <f t="shared" si="2"/>
        <v>0</v>
      </c>
      <c r="H54" s="7">
        <f t="shared" ref="H54:H59" si="13">D54+G54</f>
        <v>0</v>
      </c>
    </row>
    <row r="55" spans="1:8" x14ac:dyDescent="0.25">
      <c r="A55" s="4" t="s">
        <v>29</v>
      </c>
      <c r="B55" s="21">
        <v>1835850.39</v>
      </c>
      <c r="C55" s="21"/>
      <c r="D55" s="25">
        <f t="shared" si="12"/>
        <v>1835850.39</v>
      </c>
      <c r="E55" s="63"/>
      <c r="F55" s="21"/>
      <c r="G55" s="6">
        <f t="shared" si="2"/>
        <v>0</v>
      </c>
      <c r="H55" s="7">
        <f t="shared" si="13"/>
        <v>1835850.39</v>
      </c>
    </row>
    <row r="56" spans="1:8" x14ac:dyDescent="0.25">
      <c r="A56" s="4" t="s">
        <v>30</v>
      </c>
      <c r="B56" s="62"/>
      <c r="C56" s="21"/>
      <c r="D56" s="25">
        <f t="shared" si="12"/>
        <v>0</v>
      </c>
      <c r="E56" s="89"/>
      <c r="F56" s="21"/>
      <c r="G56" s="6">
        <f t="shared" si="2"/>
        <v>0</v>
      </c>
      <c r="H56" s="7">
        <f t="shared" si="13"/>
        <v>0</v>
      </c>
    </row>
    <row r="57" spans="1:8" x14ac:dyDescent="0.25">
      <c r="A57" s="4" t="s">
        <v>31</v>
      </c>
      <c r="B57" s="62"/>
      <c r="C57" s="21"/>
      <c r="D57" s="25">
        <f t="shared" si="12"/>
        <v>0</v>
      </c>
      <c r="E57" s="89"/>
      <c r="F57" s="21"/>
      <c r="G57" s="6">
        <f t="shared" si="2"/>
        <v>0</v>
      </c>
      <c r="H57" s="7">
        <f t="shared" si="13"/>
        <v>0</v>
      </c>
    </row>
    <row r="58" spans="1:8" x14ac:dyDescent="0.25">
      <c r="A58" s="4" t="s">
        <v>62</v>
      </c>
      <c r="B58" s="62"/>
      <c r="C58" s="21"/>
      <c r="D58" s="25">
        <f t="shared" si="12"/>
        <v>0</v>
      </c>
      <c r="E58" s="89"/>
      <c r="F58" s="21"/>
      <c r="G58" s="6">
        <f t="shared" si="2"/>
        <v>0</v>
      </c>
      <c r="H58" s="7">
        <f t="shared" si="13"/>
        <v>0</v>
      </c>
    </row>
    <row r="59" spans="1:8" x14ac:dyDescent="0.25">
      <c r="A59" s="2" t="s">
        <v>32</v>
      </c>
      <c r="B59" s="6">
        <f>SUM(B53:B58)</f>
        <v>1835850.39</v>
      </c>
      <c r="C59" s="6">
        <f>SUM(C53:C58)</f>
        <v>0</v>
      </c>
      <c r="D59" s="25">
        <f t="shared" si="12"/>
        <v>1835850.39</v>
      </c>
      <c r="E59" s="6">
        <f>SUM(E53:E58)</f>
        <v>0</v>
      </c>
      <c r="F59" s="6">
        <f>SUM(F53:F58)</f>
        <v>0</v>
      </c>
      <c r="G59" s="6">
        <f t="shared" si="2"/>
        <v>0</v>
      </c>
      <c r="H59" s="7">
        <f t="shared" si="13"/>
        <v>1835850.39</v>
      </c>
    </row>
    <row r="60" spans="1:8" x14ac:dyDescent="0.25">
      <c r="D60" s="25"/>
      <c r="H60" s="7"/>
    </row>
    <row r="61" spans="1:8" x14ac:dyDescent="0.25">
      <c r="A61" s="2" t="s">
        <v>33</v>
      </c>
      <c r="B61" s="6">
        <f>B50-B59</f>
        <v>-1835829.0799999998</v>
      </c>
      <c r="C61" s="6">
        <f>C50-C59</f>
        <v>0</v>
      </c>
      <c r="D61" s="6">
        <f>D50-D59</f>
        <v>-1835829.0799999998</v>
      </c>
      <c r="E61" s="6">
        <f>E50-E59</f>
        <v>1837495.76</v>
      </c>
      <c r="F61" s="6">
        <f>F50-F59</f>
        <v>0</v>
      </c>
      <c r="G61" s="6">
        <f t="shared" si="2"/>
        <v>1837495.76</v>
      </c>
      <c r="H61" s="7">
        <f>D61+G61</f>
        <v>1666.6800000001676</v>
      </c>
    </row>
    <row r="62" spans="1:8" x14ac:dyDescent="0.25">
      <c r="A62" s="2"/>
      <c r="D62" s="25"/>
      <c r="H62" s="7"/>
    </row>
    <row r="63" spans="1:8" x14ac:dyDescent="0.25">
      <c r="A63" s="40" t="s">
        <v>301</v>
      </c>
      <c r="B63" s="21"/>
      <c r="C63" s="21"/>
      <c r="D63" s="25">
        <f>B63+C63</f>
        <v>0</v>
      </c>
      <c r="E63" s="63"/>
      <c r="F63" s="21"/>
      <c r="G63" s="6">
        <f t="shared" si="2"/>
        <v>0</v>
      </c>
      <c r="H63" s="7">
        <f>D63+G63</f>
        <v>0</v>
      </c>
    </row>
    <row r="64" spans="1:8" x14ac:dyDescent="0.25">
      <c r="A64" t="s">
        <v>34</v>
      </c>
      <c r="B64" s="21">
        <v>1837495.76</v>
      </c>
      <c r="C64" s="21"/>
      <c r="D64" s="25">
        <f t="shared" ref="D64:D65" si="14">B64+C64</f>
        <v>1837495.76</v>
      </c>
      <c r="E64" s="63"/>
      <c r="F64" s="21"/>
      <c r="G64" s="6">
        <f t="shared" si="2"/>
        <v>0</v>
      </c>
      <c r="H64" s="7">
        <f t="shared" ref="H64:H66" si="15">D64+G64</f>
        <v>1837495.76</v>
      </c>
    </row>
    <row r="65" spans="1:8" x14ac:dyDescent="0.25">
      <c r="A65" t="s">
        <v>35</v>
      </c>
      <c r="B65" s="21"/>
      <c r="C65" s="21"/>
      <c r="D65" s="25">
        <f t="shared" si="14"/>
        <v>0</v>
      </c>
      <c r="E65" s="63">
        <v>1837495.76</v>
      </c>
      <c r="F65" s="21"/>
      <c r="G65" s="6">
        <f t="shared" si="2"/>
        <v>1837495.76</v>
      </c>
      <c r="H65" s="7">
        <f t="shared" si="15"/>
        <v>1837495.76</v>
      </c>
    </row>
    <row r="66" spans="1:8" x14ac:dyDescent="0.25">
      <c r="A66" s="2" t="s">
        <v>36</v>
      </c>
      <c r="B66" s="6">
        <f>B63+B64-B65</f>
        <v>1837495.76</v>
      </c>
      <c r="C66" s="6">
        <f>C63+C64-C65</f>
        <v>0</v>
      </c>
      <c r="D66" s="25">
        <f>B66+C66</f>
        <v>1837495.76</v>
      </c>
      <c r="E66" s="6">
        <f>E63+E64-E65</f>
        <v>-1837495.76</v>
      </c>
      <c r="F66" s="6">
        <f>F63+F64-F65</f>
        <v>0</v>
      </c>
      <c r="G66" s="6">
        <f t="shared" si="2"/>
        <v>-1837495.76</v>
      </c>
      <c r="H66" s="7">
        <f t="shared" si="15"/>
        <v>0</v>
      </c>
    </row>
    <row r="67" spans="1:8" x14ac:dyDescent="0.25">
      <c r="D67" s="25"/>
      <c r="H67" s="7"/>
    </row>
    <row r="68" spans="1:8" x14ac:dyDescent="0.25">
      <c r="A68" s="2" t="s">
        <v>37</v>
      </c>
      <c r="B68" s="6">
        <f>B61+B66</f>
        <v>1666.6800000001676</v>
      </c>
      <c r="C68" s="6">
        <f>C61+C66</f>
        <v>0</v>
      </c>
      <c r="D68" s="6">
        <f>D61+D66</f>
        <v>1666.6800000001676</v>
      </c>
      <c r="E68" s="6">
        <f>E61+E66</f>
        <v>0</v>
      </c>
      <c r="F68" s="6">
        <f>F61+F66</f>
        <v>0</v>
      </c>
      <c r="G68" s="6">
        <f t="shared" si="2"/>
        <v>0</v>
      </c>
      <c r="H68" s="7">
        <f>D68+G68</f>
        <v>1666.6800000001676</v>
      </c>
    </row>
    <row r="69" spans="1:8" x14ac:dyDescent="0.25">
      <c r="A69" t="s">
        <v>38</v>
      </c>
      <c r="B69" s="6">
        <f>B70-B68</f>
        <v>25025.839999999833</v>
      </c>
      <c r="C69" s="6">
        <f>C70-C68</f>
        <v>0</v>
      </c>
      <c r="D69" s="6">
        <f>D70-D68</f>
        <v>25025.839999999833</v>
      </c>
      <c r="E69" s="6">
        <f>E70-E68</f>
        <v>0</v>
      </c>
      <c r="F69" s="6">
        <f>F70-F68</f>
        <v>0</v>
      </c>
      <c r="G69" s="6">
        <f t="shared" si="2"/>
        <v>0</v>
      </c>
      <c r="H69" s="7">
        <f t="shared" ref="H69:H70" si="16">D69+G69</f>
        <v>25025.839999999833</v>
      </c>
    </row>
    <row r="70" spans="1:8" x14ac:dyDescent="0.25">
      <c r="A70" s="2" t="s">
        <v>39</v>
      </c>
      <c r="B70" s="6">
        <f>B41</f>
        <v>26692.52</v>
      </c>
      <c r="C70" s="6">
        <f>C41</f>
        <v>0</v>
      </c>
      <c r="D70" s="6">
        <f>D41</f>
        <v>26692.52</v>
      </c>
      <c r="E70" s="6">
        <f>E41</f>
        <v>0</v>
      </c>
      <c r="F70" s="6">
        <f>F41</f>
        <v>0</v>
      </c>
      <c r="G70" s="6">
        <f t="shared" si="2"/>
        <v>0</v>
      </c>
      <c r="H70" s="7">
        <f t="shared" si="16"/>
        <v>26692.52</v>
      </c>
    </row>
  </sheetData>
  <customSheetViews>
    <customSheetView guid="{E68B3865-8D72-47E7-BE32-0FF7EB09E889}" fitToPage="1">
      <pane xSplit="1" ySplit="5" topLeftCell="B57" activePane="bottomRight" state="frozen"/>
      <selection pane="bottomRight" activeCell="A4" sqref="A4"/>
      <pageMargins left="0.7" right="0.7" top="0.75" bottom="0.75" header="0.3" footer="0.3"/>
      <pageSetup scale="62" orientation="landscape" r:id="rId1"/>
    </customSheetView>
    <customSheetView guid="{2B2709E2-6DF4-4CC4-88D0-056FB306137C}" fitToPage="1">
      <pane xSplit="1" ySplit="5" topLeftCell="B39" activePane="bottomRight" state="frozen"/>
      <selection pane="bottomRight" activeCell="F65" sqref="F65"/>
      <pageMargins left="0.7" right="0.7" top="0.75" bottom="0.75" header="0.3" footer="0.3"/>
      <pageSetup scale="62" orientation="landscape" r:id="rId2"/>
    </customSheetView>
    <customSheetView guid="{EC03C3C8-7E57-47C6-8413-F484E8C46A0C}" showPageBreaks="1" fitToPage="1">
      <pane xSplit="1" ySplit="5" topLeftCell="B39" activePane="bottomRight" state="frozen"/>
      <selection pane="bottomRight" activeCell="F48" sqref="F48"/>
      <pageMargins left="0.7" right="0.7" top="0.75" bottom="0.75" header="0.3" footer="0.3"/>
      <pageSetup scale="61" orientation="landscape" r:id="rId3"/>
    </customSheetView>
    <customSheetView guid="{D62C3EC3-27D1-41F3-9A4E-06307CA202CE}" showPageBreaks="1" fitToPage="1" showRuler="0">
      <pane xSplit="1" ySplit="5" topLeftCell="B6" activePane="bottomRight" state="frozen"/>
      <selection pane="bottomRight" activeCell="F20" sqref="F20"/>
      <pageMargins left="0.7" right="0.7" top="0.75" bottom="0.75" header="0.3" footer="0.3"/>
      <pageSetup scale="62" orientation="landscape" r:id="rId4"/>
      <headerFooter alignWithMargins="0"/>
    </customSheetView>
    <customSheetView guid="{A6F79E61-D6A3-44FD-B4A4-4724DF74349B}" showPageBreaks="1" fitToPage="1">
      <pane xSplit="1" ySplit="5" topLeftCell="B21" activePane="bottomRight" state="frozen"/>
      <selection pane="bottomRight" activeCell="B10" sqref="B10"/>
      <pageMargins left="0.7" right="0.7" top="0.75" bottom="0.75" header="0.3" footer="0.3"/>
      <pageSetup scale="48" orientation="landscape" r:id="rId5"/>
    </customSheetView>
    <customSheetView guid="{DE6E911D-85BF-467A-AA00-1E84C5349CF7}" showPageBreaks="1" fitToPage="1">
      <pane xSplit="1" ySplit="5" topLeftCell="B24" activePane="bottomRight" state="frozen"/>
      <selection pane="bottomRight" activeCell="C40" sqref="C40"/>
      <pageMargins left="0.7" right="0.7" top="0.75" bottom="0.75" header="0.3" footer="0.3"/>
      <pageSetup scale="48" orientation="landscape" r:id="rId6"/>
    </customSheetView>
  </customSheetViews>
  <phoneticPr fontId="0" type="noConversion"/>
  <pageMargins left="0.7" right="0.7" top="0.75" bottom="0.75" header="0.3" footer="0.3"/>
  <pageSetup scale="62" orientation="landscape" r:id="rId7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A3" sqref="A3"/>
    </sheetView>
  </sheetViews>
  <sheetFormatPr defaultRowHeight="15" x14ac:dyDescent="0.25"/>
  <cols>
    <col min="1" max="1" width="15" style="17" customWidth="1"/>
    <col min="2" max="2" width="11.85546875" style="17" customWidth="1"/>
    <col min="3" max="3" width="11.140625" bestFit="1" customWidth="1"/>
  </cols>
  <sheetData>
    <row r="1" spans="1:7" ht="45" x14ac:dyDescent="0.25">
      <c r="A1" s="18" t="s">
        <v>297</v>
      </c>
      <c r="B1" s="18" t="s">
        <v>296</v>
      </c>
      <c r="C1" s="7" t="s">
        <v>80</v>
      </c>
    </row>
    <row r="2" spans="1:7" x14ac:dyDescent="0.25">
      <c r="C2" s="6"/>
    </row>
    <row r="3" spans="1:7" x14ac:dyDescent="0.25">
      <c r="A3" s="20"/>
      <c r="B3" s="20"/>
      <c r="C3" s="20"/>
      <c r="G3" s="71"/>
    </row>
    <row r="4" spans="1:7" x14ac:dyDescent="0.25">
      <c r="A4" s="20"/>
      <c r="B4" s="20"/>
      <c r="C4" s="20"/>
    </row>
    <row r="5" spans="1:7" x14ac:dyDescent="0.25">
      <c r="A5" s="20"/>
      <c r="B5" s="20"/>
      <c r="C5" s="20"/>
    </row>
    <row r="6" spans="1:7" x14ac:dyDescent="0.25">
      <c r="A6" s="20"/>
      <c r="B6" s="20"/>
      <c r="C6" s="20"/>
    </row>
    <row r="7" spans="1:7" x14ac:dyDescent="0.25">
      <c r="A7" s="20"/>
      <c r="B7" s="20"/>
      <c r="C7" s="20"/>
    </row>
    <row r="8" spans="1:7" x14ac:dyDescent="0.25">
      <c r="A8" s="17">
        <f>SUM(A3:A7)</f>
        <v>0</v>
      </c>
      <c r="B8" s="17">
        <f>SUM(B3:B7)</f>
        <v>0</v>
      </c>
      <c r="C8" s="6">
        <f>SUM(C3:C7)</f>
        <v>0</v>
      </c>
    </row>
    <row r="9" spans="1:7" x14ac:dyDescent="0.25">
      <c r="C9" s="6"/>
    </row>
    <row r="10" spans="1:7" x14ac:dyDescent="0.25">
      <c r="A10" s="20"/>
      <c r="B10" s="20"/>
      <c r="C10" s="20"/>
    </row>
    <row r="11" spans="1:7" x14ac:dyDescent="0.25">
      <c r="A11" s="20"/>
      <c r="B11" s="20"/>
      <c r="C11" s="20"/>
    </row>
    <row r="12" spans="1:7" x14ac:dyDescent="0.25">
      <c r="A12" s="20"/>
      <c r="B12" s="20"/>
      <c r="C12" s="20"/>
    </row>
    <row r="13" spans="1:7" x14ac:dyDescent="0.25">
      <c r="A13" s="20"/>
      <c r="B13" s="20"/>
      <c r="C13" s="20"/>
    </row>
    <row r="14" spans="1:7" x14ac:dyDescent="0.25">
      <c r="A14" s="20"/>
      <c r="B14" s="20"/>
      <c r="C14" s="20"/>
    </row>
    <row r="15" spans="1:7" x14ac:dyDescent="0.25">
      <c r="A15" s="17">
        <f>SUM(A10:A14)</f>
        <v>0</v>
      </c>
      <c r="B15" s="17">
        <f>SUM(B10:B14)</f>
        <v>0</v>
      </c>
      <c r="C15" s="6">
        <f>SUM(C10:C14)</f>
        <v>0</v>
      </c>
    </row>
    <row r="16" spans="1:7" x14ac:dyDescent="0.25">
      <c r="C16" s="6"/>
    </row>
    <row r="17" spans="1:3" x14ac:dyDescent="0.25">
      <c r="C17" s="6"/>
    </row>
    <row r="18" spans="1:3" x14ac:dyDescent="0.25">
      <c r="A18" s="20"/>
      <c r="B18" s="20"/>
      <c r="C18" s="20"/>
    </row>
    <row r="19" spans="1:3" x14ac:dyDescent="0.25">
      <c r="A19" s="20"/>
      <c r="B19" s="20"/>
      <c r="C19" s="20"/>
    </row>
    <row r="20" spans="1:3" x14ac:dyDescent="0.25">
      <c r="A20" s="20"/>
      <c r="B20" s="20"/>
      <c r="C20" s="20"/>
    </row>
    <row r="21" spans="1:3" x14ac:dyDescent="0.25">
      <c r="A21" s="17">
        <f>SUM(A18:A20)</f>
        <v>0</v>
      </c>
      <c r="B21" s="17">
        <f>SUM(B18:B20)</f>
        <v>0</v>
      </c>
      <c r="C21" s="6">
        <f>SUM(C18:C20)</f>
        <v>0</v>
      </c>
    </row>
    <row r="22" spans="1:3" x14ac:dyDescent="0.25">
      <c r="C22" s="6"/>
    </row>
    <row r="23" spans="1:3" x14ac:dyDescent="0.25">
      <c r="A23" s="17">
        <f>A15+A21</f>
        <v>0</v>
      </c>
      <c r="B23" s="17">
        <f>B15+B21</f>
        <v>0</v>
      </c>
      <c r="C23" s="6">
        <f>C15+C21</f>
        <v>0</v>
      </c>
    </row>
    <row r="24" spans="1:3" x14ac:dyDescent="0.25">
      <c r="C24" s="6"/>
    </row>
    <row r="25" spans="1:3" x14ac:dyDescent="0.25">
      <c r="A25" s="20"/>
      <c r="B25" s="20"/>
      <c r="C25" s="20"/>
    </row>
    <row r="26" spans="1:3" x14ac:dyDescent="0.25">
      <c r="A26" s="20"/>
      <c r="B26" s="20"/>
      <c r="C26" s="20"/>
    </row>
    <row r="27" spans="1:3" x14ac:dyDescent="0.25">
      <c r="A27" s="20"/>
      <c r="B27" s="20"/>
      <c r="C27" s="20"/>
    </row>
    <row r="28" spans="1:3" x14ac:dyDescent="0.25">
      <c r="A28" s="20"/>
      <c r="B28" s="20"/>
      <c r="C28" s="20"/>
    </row>
    <row r="29" spans="1:3" x14ac:dyDescent="0.25">
      <c r="A29" s="20"/>
      <c r="B29" s="20"/>
      <c r="C29" s="20"/>
    </row>
    <row r="30" spans="1:3" x14ac:dyDescent="0.25">
      <c r="A30" s="17">
        <f>SUM(A25:A29)</f>
        <v>0</v>
      </c>
      <c r="B30" s="17">
        <f>SUM(B25:B29)</f>
        <v>0</v>
      </c>
      <c r="C30" s="6">
        <f>SUM(C25:C29)</f>
        <v>0</v>
      </c>
    </row>
    <row r="31" spans="1:3" x14ac:dyDescent="0.25">
      <c r="C31" s="6"/>
    </row>
    <row r="32" spans="1:3" x14ac:dyDescent="0.25">
      <c r="A32" s="20"/>
      <c r="B32" s="20"/>
      <c r="C32" s="20"/>
    </row>
    <row r="33" spans="1:3" x14ac:dyDescent="0.25">
      <c r="A33" s="20"/>
      <c r="B33" s="20"/>
      <c r="C33" s="20"/>
    </row>
    <row r="34" spans="1:3" x14ac:dyDescent="0.25">
      <c r="A34" s="20"/>
      <c r="B34" s="20"/>
      <c r="C34" s="20"/>
    </row>
    <row r="35" spans="1:3" x14ac:dyDescent="0.25">
      <c r="A35" s="20"/>
      <c r="B35" s="20"/>
      <c r="C35" s="20"/>
    </row>
    <row r="36" spans="1:3" x14ac:dyDescent="0.25">
      <c r="A36" s="20"/>
      <c r="B36" s="20"/>
      <c r="C36" s="20"/>
    </row>
    <row r="37" spans="1:3" x14ac:dyDescent="0.25">
      <c r="A37" s="20"/>
      <c r="B37" s="20"/>
      <c r="C37" s="20"/>
    </row>
    <row r="38" spans="1:3" x14ac:dyDescent="0.25">
      <c r="A38" s="17">
        <f>SUM(A32:A37)</f>
        <v>0</v>
      </c>
      <c r="B38" s="17">
        <f>SUM(B32:B37)</f>
        <v>0</v>
      </c>
      <c r="C38" s="6">
        <f>SUM(C32:C37)</f>
        <v>0</v>
      </c>
    </row>
    <row r="39" spans="1:3" x14ac:dyDescent="0.25">
      <c r="C39" s="6"/>
    </row>
    <row r="40" spans="1:3" x14ac:dyDescent="0.25">
      <c r="A40" s="17">
        <f>A30-A38</f>
        <v>0</v>
      </c>
      <c r="B40" s="17">
        <f>B30-B38</f>
        <v>0</v>
      </c>
      <c r="C40" s="6">
        <f>C30-C38</f>
        <v>0</v>
      </c>
    </row>
    <row r="41" spans="1:3" x14ac:dyDescent="0.25">
      <c r="C41" s="6"/>
    </row>
    <row r="42" spans="1:3" x14ac:dyDescent="0.25">
      <c r="A42" s="20"/>
      <c r="B42" s="20"/>
      <c r="C42" s="20"/>
    </row>
    <row r="43" spans="1:3" x14ac:dyDescent="0.25">
      <c r="A43" s="20"/>
      <c r="B43" s="20"/>
      <c r="C43" s="20"/>
    </row>
    <row r="44" spans="1:3" x14ac:dyDescent="0.25">
      <c r="A44" s="20"/>
      <c r="B44" s="20"/>
      <c r="C44" s="20"/>
    </row>
    <row r="45" spans="1:3" x14ac:dyDescent="0.25">
      <c r="A45" s="17">
        <f>A43-A44</f>
        <v>0</v>
      </c>
      <c r="B45" s="17">
        <f>B43-B44</f>
        <v>0</v>
      </c>
      <c r="C45" s="6">
        <f>C43-C44</f>
        <v>0</v>
      </c>
    </row>
    <row r="46" spans="1:3" x14ac:dyDescent="0.25">
      <c r="C46" s="6"/>
    </row>
    <row r="47" spans="1:3" x14ac:dyDescent="0.25">
      <c r="A47" s="17">
        <f>A40+A45</f>
        <v>0</v>
      </c>
      <c r="B47" s="17">
        <f>B40+B45</f>
        <v>0</v>
      </c>
      <c r="C47" s="6">
        <f>C40+C45</f>
        <v>0</v>
      </c>
    </row>
    <row r="48" spans="1:3" x14ac:dyDescent="0.25">
      <c r="A48" s="17">
        <f>A49-A47</f>
        <v>0</v>
      </c>
      <c r="B48" s="17">
        <f>B49-B47</f>
        <v>0</v>
      </c>
      <c r="C48" s="6">
        <f>C49-C47</f>
        <v>0</v>
      </c>
    </row>
    <row r="49" spans="1:3" x14ac:dyDescent="0.25">
      <c r="A49" s="17">
        <f>A21</f>
        <v>0</v>
      </c>
      <c r="B49" s="17">
        <f>B21</f>
        <v>0</v>
      </c>
      <c r="C49" s="6">
        <f>C21</f>
        <v>0</v>
      </c>
    </row>
  </sheetData>
  <customSheetViews>
    <customSheetView guid="{E68B3865-8D72-47E7-BE32-0FF7EB09E889}" state="hidden">
      <selection activeCell="A3" sqref="A3"/>
      <pageMargins left="0.7" right="0.7" top="0.75" bottom="0.75" header="0.3" footer="0.3"/>
    </customSheetView>
    <customSheetView guid="{2B2709E2-6DF4-4CC4-88D0-056FB306137C}">
      <selection activeCell="A3" sqref="A3"/>
      <pageMargins left="0.7" right="0.7" top="0.75" bottom="0.75" header="0.3" footer="0.3"/>
    </customSheetView>
    <customSheetView guid="{A6F79E61-D6A3-44FD-B4A4-4724DF74349B}" showPageBreaks="1">
      <selection activeCell="A23" sqref="A23"/>
      <pageMargins left="0.7" right="0.7" top="0.75" bottom="0.75" header="0.3" footer="0.3"/>
      <pageSetup orientation="portrait" r:id="rId1"/>
    </customSheetView>
    <customSheetView guid="{DE6E911D-85BF-467A-AA00-1E84C5349CF7}" showPageBreaks="1">
      <selection activeCell="E10" sqref="E10"/>
      <pageMargins left="0" right="0" top="0" bottom="0" header="0" footer="0"/>
      <pageSetup orientation="portrait" r:id="rId2"/>
    </customSheetView>
  </customSheetView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opLeftCell="A28" workbookViewId="0">
      <selection activeCell="A4" sqref="A4"/>
    </sheetView>
  </sheetViews>
  <sheetFormatPr defaultRowHeight="15" x14ac:dyDescent="0.25"/>
  <cols>
    <col min="1" max="1" width="40.5703125" style="9" customWidth="1"/>
    <col min="2" max="2" width="13.85546875" bestFit="1" customWidth="1"/>
    <col min="3" max="3" width="12.7109375" bestFit="1" customWidth="1"/>
    <col min="4" max="4" width="13.85546875" bestFit="1" customWidth="1"/>
    <col min="5" max="5" width="11.140625" bestFit="1" customWidth="1"/>
    <col min="6" max="9" width="12.7109375" bestFit="1" customWidth="1"/>
  </cols>
  <sheetData>
    <row r="1" spans="1:7" x14ac:dyDescent="0.25">
      <c r="A1" s="39" t="s">
        <v>318</v>
      </c>
      <c r="B1" s="132"/>
      <c r="C1" s="132"/>
      <c r="D1" s="132"/>
      <c r="E1" s="131"/>
    </row>
    <row r="2" spans="1:7" x14ac:dyDescent="0.25">
      <c r="A2" s="133" t="s">
        <v>1</v>
      </c>
      <c r="B2" s="132"/>
      <c r="C2" s="132"/>
      <c r="D2" s="132"/>
      <c r="E2" s="131"/>
    </row>
    <row r="3" spans="1:7" x14ac:dyDescent="0.25">
      <c r="A3" s="134">
        <v>43435</v>
      </c>
      <c r="B3" s="132"/>
      <c r="C3" s="132"/>
      <c r="D3" s="132"/>
      <c r="E3" s="131"/>
    </row>
    <row r="4" spans="1:7" ht="30" x14ac:dyDescent="0.25">
      <c r="A4" s="134"/>
      <c r="B4" s="7" t="s">
        <v>319</v>
      </c>
      <c r="C4" s="7" t="s">
        <v>47</v>
      </c>
      <c r="D4" s="7" t="s">
        <v>331</v>
      </c>
      <c r="E4" s="131"/>
    </row>
    <row r="5" spans="1:7" x14ac:dyDescent="0.25">
      <c r="A5" s="3" t="s">
        <v>2</v>
      </c>
      <c r="B5" s="132"/>
      <c r="C5" s="132"/>
      <c r="D5" s="7"/>
      <c r="E5" s="131"/>
    </row>
    <row r="6" spans="1:7" x14ac:dyDescent="0.25">
      <c r="A6" s="135" t="s">
        <v>3</v>
      </c>
      <c r="B6" s="136"/>
      <c r="C6" s="136"/>
      <c r="D6" s="7">
        <f t="shared" ref="D6:D11" si="0">SUM(B6:C6)</f>
        <v>0</v>
      </c>
      <c r="E6" s="131"/>
      <c r="G6" s="71"/>
    </row>
    <row r="7" spans="1:7" x14ac:dyDescent="0.25">
      <c r="A7" s="135" t="s">
        <v>320</v>
      </c>
      <c r="B7" s="136"/>
      <c r="C7" s="136"/>
      <c r="D7" s="7">
        <f t="shared" si="0"/>
        <v>0</v>
      </c>
      <c r="E7" s="131"/>
    </row>
    <row r="8" spans="1:7" x14ac:dyDescent="0.25">
      <c r="A8" s="135" t="s">
        <v>321</v>
      </c>
      <c r="B8" s="136"/>
      <c r="C8" s="136"/>
      <c r="D8" s="7">
        <f t="shared" si="0"/>
        <v>0</v>
      </c>
      <c r="E8" s="131"/>
    </row>
    <row r="9" spans="1:7" x14ac:dyDescent="0.25">
      <c r="A9" s="135" t="s">
        <v>322</v>
      </c>
      <c r="B9" s="136"/>
      <c r="C9" s="136"/>
      <c r="D9" s="7">
        <f t="shared" si="0"/>
        <v>0</v>
      </c>
      <c r="E9" s="131"/>
    </row>
    <row r="10" spans="1:7" x14ac:dyDescent="0.25">
      <c r="A10" s="135" t="s">
        <v>323</v>
      </c>
      <c r="B10" s="136"/>
      <c r="C10" s="136"/>
      <c r="D10" s="7">
        <f t="shared" si="0"/>
        <v>0</v>
      </c>
      <c r="E10" s="131"/>
    </row>
    <row r="11" spans="1:7" x14ac:dyDescent="0.25">
      <c r="A11" s="2" t="s">
        <v>7</v>
      </c>
      <c r="B11" s="132">
        <f>SUM(B6:B10)</f>
        <v>0</v>
      </c>
      <c r="C11" s="132">
        <f>SUM(C6:C10)</f>
        <v>0</v>
      </c>
      <c r="D11" s="7">
        <f t="shared" si="0"/>
        <v>0</v>
      </c>
      <c r="E11" s="131"/>
    </row>
    <row r="12" spans="1:7" x14ac:dyDescent="0.25">
      <c r="A12" s="133"/>
      <c r="B12" s="132"/>
      <c r="C12" s="132"/>
      <c r="D12" s="7"/>
      <c r="E12" s="131"/>
    </row>
    <row r="13" spans="1:7" x14ac:dyDescent="0.25">
      <c r="A13" s="3" t="s">
        <v>8</v>
      </c>
      <c r="B13" s="132"/>
      <c r="C13" s="132"/>
      <c r="D13" s="7"/>
      <c r="E13" s="131"/>
    </row>
    <row r="14" spans="1:7" x14ac:dyDescent="0.25">
      <c r="A14" s="135" t="s">
        <v>9</v>
      </c>
      <c r="B14" s="136"/>
      <c r="C14" s="136"/>
      <c r="D14" s="7">
        <f>SUM(B14:C14)</f>
        <v>0</v>
      </c>
      <c r="E14" s="131"/>
    </row>
    <row r="15" spans="1:7" x14ac:dyDescent="0.25">
      <c r="A15" s="135" t="s">
        <v>10</v>
      </c>
      <c r="B15" s="136"/>
      <c r="C15" s="136"/>
      <c r="D15" s="7">
        <f>SUM(B15:C15)</f>
        <v>0</v>
      </c>
      <c r="E15" s="131"/>
    </row>
    <row r="16" spans="1:7" x14ac:dyDescent="0.25">
      <c r="A16" s="135" t="s">
        <v>190</v>
      </c>
      <c r="B16" s="136"/>
      <c r="C16" s="136"/>
      <c r="D16" s="7">
        <f>SUM(B16:C16)</f>
        <v>0</v>
      </c>
      <c r="E16" s="131"/>
    </row>
    <row r="17" spans="1:5" x14ac:dyDescent="0.25">
      <c r="A17" s="135" t="s">
        <v>12</v>
      </c>
      <c r="B17" s="136"/>
      <c r="C17" s="136"/>
      <c r="D17" s="7">
        <f>SUM(B17:C17)</f>
        <v>0</v>
      </c>
      <c r="E17" s="131"/>
    </row>
    <row r="18" spans="1:5" x14ac:dyDescent="0.25">
      <c r="A18" s="2" t="s">
        <v>13</v>
      </c>
      <c r="B18" s="132">
        <f>SUM(B14:B17)</f>
        <v>0</v>
      </c>
      <c r="C18" s="132">
        <f>SUM(C14:C17)</f>
        <v>0</v>
      </c>
      <c r="D18" s="7">
        <f>SUM(B18:C18)</f>
        <v>0</v>
      </c>
      <c r="E18" s="131"/>
    </row>
    <row r="19" spans="1:5" x14ac:dyDescent="0.25">
      <c r="A19" s="133"/>
      <c r="B19" s="132"/>
      <c r="C19" s="132"/>
      <c r="D19" s="7"/>
      <c r="E19" s="131"/>
    </row>
    <row r="20" spans="1:5" x14ac:dyDescent="0.25">
      <c r="A20" s="3" t="s">
        <v>14</v>
      </c>
      <c r="B20" s="132"/>
      <c r="C20" s="132"/>
      <c r="D20" s="7"/>
      <c r="E20" s="131"/>
    </row>
    <row r="21" spans="1:5" x14ac:dyDescent="0.25">
      <c r="A21" s="135" t="s">
        <v>15</v>
      </c>
      <c r="B21" s="136"/>
      <c r="C21" s="136"/>
      <c r="D21" s="7">
        <f>SUM(B21:C21)</f>
        <v>0</v>
      </c>
      <c r="E21" s="131"/>
    </row>
    <row r="22" spans="1:5" x14ac:dyDescent="0.25">
      <c r="A22" s="135" t="s">
        <v>16</v>
      </c>
      <c r="B22" s="136"/>
      <c r="C22" s="136"/>
      <c r="D22" s="7">
        <f>SUM(B22:C22)</f>
        <v>0</v>
      </c>
      <c r="E22" s="131"/>
    </row>
    <row r="23" spans="1:5" x14ac:dyDescent="0.25">
      <c r="A23" s="135" t="s">
        <v>17</v>
      </c>
      <c r="B23" s="136"/>
      <c r="C23" s="136"/>
      <c r="D23" s="7">
        <f>SUM(B23:C23)</f>
        <v>0</v>
      </c>
      <c r="E23" s="131"/>
    </row>
    <row r="24" spans="1:5" x14ac:dyDescent="0.25">
      <c r="A24" s="2" t="s">
        <v>18</v>
      </c>
      <c r="B24" s="132">
        <f>SUM(B21:B23)</f>
        <v>0</v>
      </c>
      <c r="C24" s="132">
        <f>SUM(C21:C23)</f>
        <v>0</v>
      </c>
      <c r="D24" s="7">
        <f>SUM(B24:C24)</f>
        <v>0</v>
      </c>
      <c r="E24" s="131"/>
    </row>
    <row r="25" spans="1:5" x14ac:dyDescent="0.25">
      <c r="A25" s="133"/>
      <c r="B25" s="132"/>
      <c r="C25" s="132"/>
      <c r="D25" s="7"/>
      <c r="E25" s="131"/>
    </row>
    <row r="26" spans="1:5" x14ac:dyDescent="0.25">
      <c r="A26" s="2" t="s">
        <v>19</v>
      </c>
      <c r="B26" s="132">
        <f>B18+B24</f>
        <v>0</v>
      </c>
      <c r="C26" s="132">
        <f>C18+C24</f>
        <v>0</v>
      </c>
      <c r="D26" s="7">
        <f>SUM(B26:C26)</f>
        <v>0</v>
      </c>
      <c r="E26" s="131"/>
    </row>
    <row r="27" spans="1:5" x14ac:dyDescent="0.25">
      <c r="A27" s="133"/>
      <c r="B27" s="137" t="str">
        <f>IF(B11=B26,"YES","NO")</f>
        <v>YES</v>
      </c>
      <c r="C27" s="137" t="str">
        <f>IF(C11=C26,"YES","NO")</f>
        <v>YES</v>
      </c>
      <c r="D27" s="137" t="str">
        <f>IF(D11=D26,"YES","NO")</f>
        <v>YES</v>
      </c>
      <c r="E27" s="131"/>
    </row>
    <row r="28" spans="1:5" x14ac:dyDescent="0.25">
      <c r="A28" s="3" t="s">
        <v>20</v>
      </c>
      <c r="B28" s="132"/>
      <c r="C28" s="132"/>
      <c r="D28" s="7"/>
      <c r="E28" s="131"/>
    </row>
    <row r="29" spans="1:5" x14ac:dyDescent="0.25">
      <c r="A29" s="135" t="s">
        <v>21</v>
      </c>
      <c r="B29" s="136"/>
      <c r="C29" s="136"/>
      <c r="D29" s="7">
        <f>SUM(B29:C29)</f>
        <v>0</v>
      </c>
      <c r="E29" s="131"/>
    </row>
    <row r="30" spans="1:5" x14ac:dyDescent="0.25">
      <c r="A30" s="135" t="s">
        <v>22</v>
      </c>
      <c r="B30" s="136"/>
      <c r="C30" s="136"/>
      <c r="D30" s="7">
        <f>SUM(B30:C30)</f>
        <v>0</v>
      </c>
      <c r="E30" s="131"/>
    </row>
    <row r="31" spans="1:5" x14ac:dyDescent="0.25">
      <c r="A31" s="135" t="s">
        <v>23</v>
      </c>
      <c r="B31" s="136"/>
      <c r="C31" s="136"/>
      <c r="D31" s="7">
        <f>SUM(B31:C31)</f>
        <v>0</v>
      </c>
      <c r="E31" s="131"/>
    </row>
    <row r="32" spans="1:5" x14ac:dyDescent="0.25">
      <c r="A32" s="135" t="s">
        <v>330</v>
      </c>
      <c r="B32" s="136"/>
      <c r="C32" s="136"/>
      <c r="D32" s="7">
        <f t="shared" ref="D32:D36" si="1">SUM(B32:C32)</f>
        <v>0</v>
      </c>
      <c r="E32" s="131"/>
    </row>
    <row r="33" spans="1:5" x14ac:dyDescent="0.25">
      <c r="A33" s="135" t="s">
        <v>324</v>
      </c>
      <c r="B33" s="136"/>
      <c r="C33" s="136"/>
      <c r="D33" s="7">
        <f t="shared" si="1"/>
        <v>0</v>
      </c>
      <c r="E33" s="131"/>
    </row>
    <row r="34" spans="1:5" x14ac:dyDescent="0.25">
      <c r="A34" s="135" t="s">
        <v>325</v>
      </c>
      <c r="B34" s="136"/>
      <c r="C34" s="136"/>
      <c r="D34" s="7">
        <f t="shared" si="1"/>
        <v>0</v>
      </c>
      <c r="E34" s="131"/>
    </row>
    <row r="35" spans="1:5" x14ac:dyDescent="0.25">
      <c r="A35" s="135" t="s">
        <v>326</v>
      </c>
      <c r="B35" s="136"/>
      <c r="C35" s="136"/>
      <c r="D35" s="7">
        <f t="shared" si="1"/>
        <v>0</v>
      </c>
      <c r="E35" s="131"/>
    </row>
    <row r="36" spans="1:5" x14ac:dyDescent="0.25">
      <c r="A36" s="135" t="s">
        <v>327</v>
      </c>
      <c r="B36" s="136"/>
      <c r="C36" s="136"/>
      <c r="D36" s="7">
        <f t="shared" si="1"/>
        <v>0</v>
      </c>
      <c r="E36" s="131"/>
    </row>
    <row r="37" spans="1:5" x14ac:dyDescent="0.25">
      <c r="A37" s="2" t="s">
        <v>25</v>
      </c>
      <c r="B37" s="132">
        <f>SUM(B29:B36)</f>
        <v>0</v>
      </c>
      <c r="C37" s="132">
        <f>SUM(C29:C36)</f>
        <v>0</v>
      </c>
      <c r="D37" s="7">
        <f>SUM(B37:C37)</f>
        <v>0</v>
      </c>
      <c r="E37" s="131"/>
    </row>
    <row r="38" spans="1:5" x14ac:dyDescent="0.25">
      <c r="A38" s="133"/>
      <c r="B38" s="132"/>
      <c r="C38" s="132"/>
      <c r="D38" s="7"/>
      <c r="E38" s="131"/>
    </row>
    <row r="39" spans="1:5" x14ac:dyDescent="0.25">
      <c r="A39" s="3" t="s">
        <v>26</v>
      </c>
      <c r="B39" s="132"/>
      <c r="C39" s="132"/>
      <c r="D39" s="7"/>
      <c r="E39" s="131"/>
    </row>
    <row r="40" spans="1:5" x14ac:dyDescent="0.25">
      <c r="A40" s="135" t="s">
        <v>328</v>
      </c>
      <c r="B40" s="136"/>
      <c r="C40" s="136"/>
      <c r="D40" s="7">
        <f>SUM(B40:C40)</f>
        <v>0</v>
      </c>
      <c r="E40" s="131"/>
    </row>
    <row r="41" spans="1:5" x14ac:dyDescent="0.25">
      <c r="A41" s="135" t="s">
        <v>329</v>
      </c>
      <c r="B41" s="136"/>
      <c r="C41" s="136"/>
      <c r="D41" s="7">
        <f>SUM(B41:C41)</f>
        <v>0</v>
      </c>
      <c r="E41" s="131"/>
    </row>
    <row r="42" spans="1:5" x14ac:dyDescent="0.25">
      <c r="A42" s="2" t="s">
        <v>32</v>
      </c>
      <c r="B42" s="132">
        <f>SUM(B40:B41)</f>
        <v>0</v>
      </c>
      <c r="C42" s="132">
        <f>SUM(C40:C41)</f>
        <v>0</v>
      </c>
      <c r="D42" s="7">
        <f>SUM(B42:C42)</f>
        <v>0</v>
      </c>
      <c r="E42" s="131"/>
    </row>
    <row r="43" spans="1:5" x14ac:dyDescent="0.25">
      <c r="A43" s="133"/>
      <c r="B43" s="132"/>
      <c r="C43" s="132"/>
      <c r="D43" s="7"/>
      <c r="E43" s="131"/>
    </row>
    <row r="44" spans="1:5" x14ac:dyDescent="0.25">
      <c r="A44" s="2" t="s">
        <v>33</v>
      </c>
      <c r="B44" s="132">
        <f>B37-B42</f>
        <v>0</v>
      </c>
      <c r="C44" s="132">
        <f>C37-C42</f>
        <v>0</v>
      </c>
      <c r="D44" s="7">
        <f>SUM(B44:C44)</f>
        <v>0</v>
      </c>
      <c r="E44" s="131"/>
    </row>
    <row r="45" spans="1:5" x14ac:dyDescent="0.25">
      <c r="A45" s="133"/>
      <c r="B45" s="132"/>
      <c r="C45" s="132"/>
      <c r="D45" s="7"/>
      <c r="E45" s="131"/>
    </row>
    <row r="46" spans="1:5" x14ac:dyDescent="0.25">
      <c r="A46" s="133" t="s">
        <v>301</v>
      </c>
      <c r="B46" s="136"/>
      <c r="C46" s="136"/>
      <c r="D46" s="7">
        <f>B46+C46</f>
        <v>0</v>
      </c>
      <c r="E46" s="131"/>
    </row>
    <row r="47" spans="1:5" x14ac:dyDescent="0.25">
      <c r="A47" s="133" t="s">
        <v>34</v>
      </c>
      <c r="B47" s="136"/>
      <c r="C47" s="136"/>
      <c r="D47" s="7">
        <f t="shared" ref="D47:D49" si="2">B47+C47</f>
        <v>0</v>
      </c>
      <c r="E47" s="131"/>
    </row>
    <row r="48" spans="1:5" x14ac:dyDescent="0.25">
      <c r="A48" s="133" t="s">
        <v>35</v>
      </c>
      <c r="B48" s="136"/>
      <c r="C48" s="136"/>
      <c r="D48" s="7">
        <f t="shared" si="2"/>
        <v>0</v>
      </c>
      <c r="E48" s="131"/>
    </row>
    <row r="49" spans="1:7" x14ac:dyDescent="0.25">
      <c r="A49" s="2" t="s">
        <v>36</v>
      </c>
      <c r="B49" s="132">
        <f>B46+B47-B48</f>
        <v>0</v>
      </c>
      <c r="C49" s="132">
        <f>C46+C47-C48</f>
        <v>0</v>
      </c>
      <c r="D49" s="7">
        <f t="shared" si="2"/>
        <v>0</v>
      </c>
      <c r="E49" s="131"/>
    </row>
    <row r="50" spans="1:7" x14ac:dyDescent="0.25">
      <c r="A50" s="133"/>
      <c r="B50" s="132"/>
      <c r="C50" s="132"/>
      <c r="D50" s="7"/>
      <c r="E50" s="131"/>
    </row>
    <row r="51" spans="1:7" x14ac:dyDescent="0.25">
      <c r="A51" s="2" t="s">
        <v>37</v>
      </c>
      <c r="B51" s="132">
        <f>B44+B49</f>
        <v>0</v>
      </c>
      <c r="C51" s="132">
        <f>C44+C49</f>
        <v>0</v>
      </c>
      <c r="D51" s="7">
        <f>SUM(B51:C51)</f>
        <v>0</v>
      </c>
      <c r="E51" s="131"/>
    </row>
    <row r="52" spans="1:7" x14ac:dyDescent="0.25">
      <c r="A52" s="133" t="s">
        <v>38</v>
      </c>
      <c r="B52" s="132">
        <f>B53-B51</f>
        <v>0</v>
      </c>
      <c r="C52" s="132">
        <f>C53-C51</f>
        <v>0</v>
      </c>
      <c r="D52" s="7">
        <f>SUM(B52:C52)</f>
        <v>0</v>
      </c>
      <c r="E52" s="131"/>
    </row>
    <row r="53" spans="1:7" x14ac:dyDescent="0.25">
      <c r="A53" s="2" t="s">
        <v>39</v>
      </c>
      <c r="B53" s="132">
        <f>B24</f>
        <v>0</v>
      </c>
      <c r="C53" s="132">
        <f>C24</f>
        <v>0</v>
      </c>
      <c r="D53" s="7">
        <f>SUM(B53:C53)</f>
        <v>0</v>
      </c>
      <c r="E53" s="131"/>
    </row>
    <row r="54" spans="1:7" x14ac:dyDescent="0.25">
      <c r="A54"/>
      <c r="B54" s="6"/>
      <c r="C54" s="6"/>
      <c r="D54" s="7"/>
    </row>
    <row r="55" spans="1:7" x14ac:dyDescent="0.25">
      <c r="A55"/>
    </row>
    <row r="56" spans="1:7" x14ac:dyDescent="0.25">
      <c r="A56"/>
    </row>
    <row r="57" spans="1:7" x14ac:dyDescent="0.25">
      <c r="A57"/>
    </row>
    <row r="58" spans="1:7" x14ac:dyDescent="0.25">
      <c r="A58"/>
    </row>
    <row r="59" spans="1:7" x14ac:dyDescent="0.25">
      <c r="A59"/>
    </row>
    <row r="60" spans="1:7" x14ac:dyDescent="0.25">
      <c r="A60"/>
    </row>
    <row r="61" spans="1:7" x14ac:dyDescent="0.25">
      <c r="A61"/>
    </row>
    <row r="62" spans="1:7" x14ac:dyDescent="0.25">
      <c r="A62"/>
    </row>
    <row r="63" spans="1:7" x14ac:dyDescent="0.25">
      <c r="A63"/>
    </row>
    <row r="64" spans="1:7" x14ac:dyDescent="0.25">
      <c r="A64"/>
      <c r="G64" s="6"/>
    </row>
    <row r="65" spans="1:9" x14ac:dyDescent="0.25">
      <c r="A65"/>
    </row>
    <row r="66" spans="1:9" x14ac:dyDescent="0.25">
      <c r="A66"/>
    </row>
    <row r="67" spans="1:9" x14ac:dyDescent="0.25">
      <c r="A67"/>
    </row>
    <row r="68" spans="1:9" x14ac:dyDescent="0.25">
      <c r="A68"/>
    </row>
    <row r="69" spans="1:9" x14ac:dyDescent="0.25">
      <c r="A69"/>
      <c r="H69" s="6"/>
    </row>
    <row r="70" spans="1:9" x14ac:dyDescent="0.25">
      <c r="A70"/>
      <c r="G70" s="9"/>
      <c r="H70" s="6"/>
    </row>
    <row r="71" spans="1:9" x14ac:dyDescent="0.25">
      <c r="A71"/>
      <c r="G71" s="17"/>
    </row>
    <row r="72" spans="1:9" x14ac:dyDescent="0.25">
      <c r="A72"/>
      <c r="G72" s="6"/>
      <c r="H72" s="6"/>
      <c r="I72" s="6"/>
    </row>
    <row r="73" spans="1:9" x14ac:dyDescent="0.25">
      <c r="A73"/>
    </row>
    <row r="74" spans="1:9" x14ac:dyDescent="0.25">
      <c r="A74"/>
      <c r="G74" s="6"/>
    </row>
    <row r="75" spans="1:9" x14ac:dyDescent="0.25">
      <c r="A75"/>
    </row>
    <row r="76" spans="1:9" x14ac:dyDescent="0.25">
      <c r="A76"/>
    </row>
    <row r="77" spans="1:9" x14ac:dyDescent="0.25">
      <c r="A77"/>
    </row>
    <row r="78" spans="1:9" x14ac:dyDescent="0.25">
      <c r="A78"/>
    </row>
    <row r="79" spans="1:9" x14ac:dyDescent="0.25">
      <c r="A79"/>
    </row>
    <row r="80" spans="1:9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</sheetData>
  <customSheetViews>
    <customSheetView guid="{E68B3865-8D72-47E7-BE32-0FF7EB09E889}" topLeftCell="A28">
      <selection activeCell="A4" sqref="A4"/>
      <pageMargins left="0.7" right="0.7" top="0.75" bottom="0.75" header="0.3" footer="0.3"/>
    </customSheetView>
    <customSheetView guid="{2B2709E2-6DF4-4CC4-88D0-056FB306137C}" topLeftCell="A34">
      <selection activeCell="A4" sqref="A4"/>
      <pageMargins left="0.7" right="0.7" top="0.75" bottom="0.75" header="0.3" footer="0.3"/>
    </customSheetView>
    <customSheetView guid="{A6F79E61-D6A3-44FD-B4A4-4724DF74349B}" showPageBreaks="1">
      <selection activeCell="B9" sqref="B9"/>
      <pageMargins left="0.7" right="0.7" top="0.75" bottom="0.75" header="0.3" footer="0.3"/>
      <pageSetup orientation="portrait" r:id="rId1"/>
    </customSheetView>
    <customSheetView guid="{DE6E911D-85BF-467A-AA00-1E84C5349CF7}" showPageBreaks="1" fitToPage="1">
      <selection activeCell="F16" sqref="F16"/>
      <pageMargins left="0" right="0" top="0" bottom="0" header="0" footer="0"/>
      <pageSetup scale="97" fitToWidth="0" orientation="portrait" r:id="rId2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9" sqref="H9"/>
    </sheetView>
  </sheetViews>
  <sheetFormatPr defaultRowHeight="15" x14ac:dyDescent="0.25"/>
  <cols>
    <col min="7" max="7" width="9.7109375" bestFit="1" customWidth="1"/>
  </cols>
  <sheetData/>
  <customSheetViews>
    <customSheetView guid="{E68B3865-8D72-47E7-BE32-0FF7EB09E889}">
      <selection activeCell="H9" sqref="H9"/>
      <pageMargins left="0.7" right="0.7" top="0.75" bottom="0.75" header="0.3" footer="0.3"/>
    </customSheetView>
    <customSheetView guid="{2B2709E2-6DF4-4CC4-88D0-056FB306137C}">
      <selection activeCell="H9" sqref="H9"/>
      <pageMargins left="0.7" right="0.7" top="0.75" bottom="0.75" header="0.3" footer="0.3"/>
    </customSheetView>
    <customSheetView guid="{A6F79E61-D6A3-44FD-B4A4-4724DF74349B}" showPageBreaks="1">
      <selection activeCell="G37" sqref="G37"/>
      <pageMargins left="0.7" right="0.7" top="0.75" bottom="0.75" header="0.3" footer="0.3"/>
      <pageSetup orientation="portrait" r:id="rId1"/>
    </customSheetView>
    <customSheetView guid="{DE6E911D-85BF-467A-AA00-1E84C5349CF7}" showPageBreaks="1">
      <selection activeCell="H9" sqref="H9"/>
      <pageMargins left="0.7" right="0.7" top="0.75" bottom="0.75" header="0.3" footer="0.3"/>
      <pageSetup orientation="portrait" r:id="rId2"/>
    </customSheetView>
  </customSheetView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E68B3865-8D72-47E7-BE32-0FF7EB09E889}">
      <pageMargins left="0.7" right="0.7" top="0.75" bottom="0.75" header="0.3" footer="0.3"/>
    </customSheetView>
    <customSheetView guid="{DE6E911D-85BF-467A-AA00-1E84C5349CF7}" showPageBreaks="1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4</vt:i4>
      </vt:variant>
    </vt:vector>
  </HeadingPairs>
  <TitlesOfParts>
    <vt:vector size="30" baseType="lpstr">
      <vt:lpstr>ALL GOVERNMENT FUNDS</vt:lpstr>
      <vt:lpstr>Front Stmts</vt:lpstr>
      <vt:lpstr>Other Government</vt:lpstr>
      <vt:lpstr>Stmt of Activities - Front</vt:lpstr>
      <vt:lpstr>General Fund</vt:lpstr>
      <vt:lpstr>General Fund - Revenue</vt:lpstr>
      <vt:lpstr>Capital Projects Fund</vt:lpstr>
      <vt:lpstr>Human Services</vt:lpstr>
      <vt:lpstr>AAA Funds</vt:lpstr>
      <vt:lpstr>CYS Funds</vt:lpstr>
      <vt:lpstr>Substance Abuse</vt:lpstr>
      <vt:lpstr>RSVP Funds</vt:lpstr>
      <vt:lpstr>Mental Health Funds</vt:lpstr>
      <vt:lpstr>Mental Retardation Funds</vt:lpstr>
      <vt:lpstr>Human Services 1150</vt:lpstr>
      <vt:lpstr>Airport Funds</vt:lpstr>
      <vt:lpstr>CDBG</vt:lpstr>
      <vt:lpstr>OEO-Weatherization</vt:lpstr>
      <vt:lpstr>OEO-Other</vt:lpstr>
      <vt:lpstr>Transportation Fund</vt:lpstr>
      <vt:lpstr>Special Purpose </vt:lpstr>
      <vt:lpstr>911</vt:lpstr>
      <vt:lpstr>Park Prison Tax Claim</vt:lpstr>
      <vt:lpstr>Pension</vt:lpstr>
      <vt:lpstr>Sheet3</vt:lpstr>
      <vt:lpstr>Sheet1</vt:lpstr>
      <vt:lpstr>'ALL GOVERNMENT FUNDS'!Print_Area</vt:lpstr>
      <vt:lpstr>'Front Stmts'!Print_Area</vt:lpstr>
      <vt:lpstr>'ALL GOVERNMENT FUNDS'!Print_Titles</vt:lpstr>
      <vt:lpstr>'Other Government'!Print_Titles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</dc:creator>
  <cp:lastModifiedBy>Heather Mohnkern</cp:lastModifiedBy>
  <cp:lastPrinted>2019-09-27T15:45:41Z</cp:lastPrinted>
  <dcterms:created xsi:type="dcterms:W3CDTF">2008-08-22T20:41:57Z</dcterms:created>
  <dcterms:modified xsi:type="dcterms:W3CDTF">2019-10-01T16:15:45Z</dcterms:modified>
</cp:coreProperties>
</file>